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 tabRatio="757" activeTab="1"/>
  </bookViews>
  <sheets>
    <sheet name="Инструкция" sheetId="1" r:id="rId1"/>
    <sheet name="Исходные данные" sheetId="8" r:id="rId2"/>
    <sheet name="Расчет среднего чека" sheetId="2" r:id="rId3"/>
    <sheet name="Планирование выручки" sheetId="3" r:id="rId4"/>
    <sheet name="Планирование персонала" sheetId="4" r:id="rId5"/>
    <sheet name="Аренда и Рабочие места" sheetId="5" r:id="rId6"/>
    <sheet name="Прогноз фин результата" sheetId="6" r:id="rId7"/>
    <sheet name="Баланс денежных средств" sheetId="7" r:id="rId8"/>
  </sheets>
  <calcPr calcId="145621" concurrentCalc="0"/>
</workbook>
</file>

<file path=xl/calcChain.xml><?xml version="1.0" encoding="utf-8"?>
<calcChain xmlns="http://schemas.openxmlformats.org/spreadsheetml/2006/main">
  <c r="D12" i="3" l="1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C12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K9" i="3"/>
  <c r="AK3" i="4"/>
  <c r="AK25" i="4"/>
  <c r="C41" i="2"/>
  <c r="E41" i="2"/>
  <c r="AK23" i="4"/>
  <c r="C42" i="2"/>
  <c r="E42" i="2"/>
  <c r="AK24" i="4"/>
  <c r="C43" i="2"/>
  <c r="E43" i="2"/>
  <c r="C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K18" i="4"/>
  <c r="C44" i="2"/>
  <c r="E44" i="2"/>
  <c r="E45" i="2"/>
  <c r="D46" i="2"/>
  <c r="E46" i="2"/>
  <c r="E57" i="2"/>
  <c r="E61" i="2"/>
  <c r="E63" i="2"/>
  <c r="E65" i="2"/>
  <c r="E67" i="2"/>
  <c r="W41" i="4"/>
  <c r="W42" i="4"/>
  <c r="W9" i="3"/>
  <c r="W6" i="4"/>
  <c r="W8" i="4"/>
  <c r="W22" i="4"/>
  <c r="W46" i="4"/>
  <c r="W3" i="4"/>
  <c r="W23" i="4"/>
  <c r="W47" i="4"/>
  <c r="W24" i="4"/>
  <c r="W48" i="4"/>
  <c r="W25" i="4"/>
  <c r="W49" i="4"/>
  <c r="W50" i="4"/>
  <c r="W52" i="4"/>
  <c r="W18" i="6"/>
  <c r="D9" i="3"/>
  <c r="E12" i="7"/>
  <c r="E9" i="3"/>
  <c r="F12" i="7"/>
  <c r="F9" i="3"/>
  <c r="G12" i="7"/>
  <c r="G9" i="3"/>
  <c r="H12" i="7"/>
  <c r="H9" i="3"/>
  <c r="I12" i="7"/>
  <c r="I9" i="3"/>
  <c r="J12" i="7"/>
  <c r="J9" i="3"/>
  <c r="K12" i="7"/>
  <c r="K9" i="3"/>
  <c r="L12" i="7"/>
  <c r="L9" i="3"/>
  <c r="M12" i="7"/>
  <c r="M9" i="3"/>
  <c r="N12" i="7"/>
  <c r="N9" i="3"/>
  <c r="O12" i="7"/>
  <c r="O9" i="3"/>
  <c r="P12" i="7"/>
  <c r="P9" i="3"/>
  <c r="Q12" i="7"/>
  <c r="Q9" i="3"/>
  <c r="R12" i="7"/>
  <c r="R9" i="3"/>
  <c r="S12" i="7"/>
  <c r="S9" i="3"/>
  <c r="T12" i="7"/>
  <c r="T9" i="3"/>
  <c r="U12" i="7"/>
  <c r="U9" i="3"/>
  <c r="V12" i="7"/>
  <c r="V9" i="3"/>
  <c r="W12" i="7"/>
  <c r="X12" i="7"/>
  <c r="X9" i="3"/>
  <c r="Y12" i="7"/>
  <c r="Y9" i="3"/>
  <c r="Z12" i="7"/>
  <c r="Z9" i="3"/>
  <c r="AA12" i="7"/>
  <c r="AA9" i="3"/>
  <c r="AB12" i="7"/>
  <c r="AB9" i="3"/>
  <c r="AC12" i="7"/>
  <c r="AC9" i="3"/>
  <c r="AD12" i="7"/>
  <c r="AD9" i="3"/>
  <c r="AE12" i="7"/>
  <c r="AE9" i="3"/>
  <c r="AF12" i="7"/>
  <c r="AF9" i="3"/>
  <c r="AG12" i="7"/>
  <c r="AG9" i="3"/>
  <c r="AH12" i="7"/>
  <c r="AH9" i="3"/>
  <c r="AI12" i="7"/>
  <c r="AI9" i="3"/>
  <c r="AJ12" i="7"/>
  <c r="AJ9" i="3"/>
  <c r="AK12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C9" i="3"/>
  <c r="D12" i="7"/>
  <c r="C11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4" i="6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C28" i="7"/>
  <c r="C6" i="4"/>
  <c r="C10" i="4"/>
  <c r="C33" i="4"/>
  <c r="C8" i="4"/>
  <c r="C7" i="4"/>
  <c r="C11" i="4"/>
  <c r="C34" i="4"/>
  <c r="C12" i="4"/>
  <c r="C35" i="4"/>
  <c r="C36" i="4"/>
  <c r="C10" i="6"/>
  <c r="C11" i="6"/>
  <c r="C12" i="6"/>
  <c r="C13" i="4"/>
  <c r="C18" i="4"/>
  <c r="C22" i="4"/>
  <c r="C3" i="4"/>
  <c r="C23" i="4"/>
  <c r="C24" i="4"/>
  <c r="C25" i="4"/>
  <c r="C26" i="4"/>
  <c r="C28" i="4"/>
  <c r="C30" i="4"/>
  <c r="C10" i="5"/>
  <c r="C11" i="5"/>
  <c r="C12" i="5"/>
  <c r="C15" i="5"/>
  <c r="C16" i="5"/>
  <c r="C17" i="5"/>
  <c r="C14" i="6"/>
  <c r="C15" i="6"/>
  <c r="C41" i="4"/>
  <c r="C42" i="4"/>
  <c r="C46" i="4"/>
  <c r="C47" i="4"/>
  <c r="C48" i="4"/>
  <c r="C49" i="4"/>
  <c r="C50" i="4"/>
  <c r="C52" i="4"/>
  <c r="C18" i="6"/>
  <c r="C19" i="6"/>
  <c r="C26" i="6"/>
  <c r="C29" i="6"/>
  <c r="C11" i="3"/>
  <c r="C13" i="3"/>
  <c r="C7" i="6"/>
  <c r="C33" i="6"/>
  <c r="C34" i="6"/>
  <c r="B9" i="3"/>
  <c r="B6" i="4"/>
  <c r="B10" i="4"/>
  <c r="B8" i="4"/>
  <c r="B7" i="4"/>
  <c r="B11" i="4"/>
  <c r="B12" i="4"/>
  <c r="B13" i="4"/>
  <c r="B22" i="4"/>
  <c r="B3" i="4"/>
  <c r="B23" i="4"/>
  <c r="B24" i="4"/>
  <c r="B25" i="4"/>
  <c r="B26" i="4"/>
  <c r="B28" i="4"/>
  <c r="B30" i="4"/>
  <c r="B10" i="5"/>
  <c r="C20" i="5"/>
  <c r="C21" i="5"/>
  <c r="C37" i="6"/>
  <c r="C38" i="6"/>
  <c r="C31" i="6"/>
  <c r="C40" i="6"/>
  <c r="D6" i="4"/>
  <c r="D10" i="4"/>
  <c r="D33" i="4"/>
  <c r="D8" i="4"/>
  <c r="D7" i="4"/>
  <c r="D11" i="4"/>
  <c r="D34" i="4"/>
  <c r="D12" i="4"/>
  <c r="D35" i="4"/>
  <c r="D36" i="4"/>
  <c r="D10" i="6"/>
  <c r="D11" i="6"/>
  <c r="D12" i="6"/>
  <c r="D13" i="4"/>
  <c r="D18" i="4"/>
  <c r="D22" i="4"/>
  <c r="D3" i="4"/>
  <c r="D23" i="4"/>
  <c r="D24" i="4"/>
  <c r="D25" i="4"/>
  <c r="D26" i="4"/>
  <c r="D28" i="4"/>
  <c r="D30" i="4"/>
  <c r="D10" i="5"/>
  <c r="D11" i="5"/>
  <c r="D12" i="5"/>
  <c r="D15" i="5"/>
  <c r="D16" i="5"/>
  <c r="D17" i="5"/>
  <c r="D14" i="6"/>
  <c r="D15" i="6"/>
  <c r="D41" i="4"/>
  <c r="D42" i="4"/>
  <c r="D46" i="4"/>
  <c r="D47" i="4"/>
  <c r="D48" i="4"/>
  <c r="D49" i="4"/>
  <c r="D50" i="4"/>
  <c r="D52" i="4"/>
  <c r="D18" i="6"/>
  <c r="D19" i="6"/>
  <c r="D26" i="6"/>
  <c r="D29" i="6"/>
  <c r="D11" i="3"/>
  <c r="D13" i="3"/>
  <c r="D7" i="6"/>
  <c r="D33" i="6"/>
  <c r="D34" i="6"/>
  <c r="D20" i="5"/>
  <c r="D21" i="5"/>
  <c r="D37" i="6"/>
  <c r="D38" i="6"/>
  <c r="D31" i="6"/>
  <c r="D40" i="6"/>
  <c r="E6" i="4"/>
  <c r="E10" i="4"/>
  <c r="E33" i="4"/>
  <c r="E8" i="4"/>
  <c r="E7" i="4"/>
  <c r="E11" i="4"/>
  <c r="E34" i="4"/>
  <c r="E12" i="4"/>
  <c r="E35" i="4"/>
  <c r="E36" i="4"/>
  <c r="E10" i="6"/>
  <c r="E11" i="6"/>
  <c r="E12" i="6"/>
  <c r="E13" i="4"/>
  <c r="E18" i="4"/>
  <c r="E22" i="4"/>
  <c r="E3" i="4"/>
  <c r="E23" i="4"/>
  <c r="E24" i="4"/>
  <c r="E25" i="4"/>
  <c r="E26" i="4"/>
  <c r="E28" i="4"/>
  <c r="E30" i="4"/>
  <c r="E10" i="5"/>
  <c r="E11" i="5"/>
  <c r="E12" i="5"/>
  <c r="E15" i="5"/>
  <c r="E16" i="5"/>
  <c r="E17" i="5"/>
  <c r="E14" i="6"/>
  <c r="E15" i="6"/>
  <c r="E41" i="4"/>
  <c r="E42" i="4"/>
  <c r="E46" i="4"/>
  <c r="E47" i="4"/>
  <c r="E48" i="4"/>
  <c r="E49" i="4"/>
  <c r="E50" i="4"/>
  <c r="E52" i="4"/>
  <c r="E18" i="6"/>
  <c r="E19" i="6"/>
  <c r="E26" i="6"/>
  <c r="E29" i="6"/>
  <c r="E11" i="3"/>
  <c r="E13" i="3"/>
  <c r="E7" i="6"/>
  <c r="E33" i="6"/>
  <c r="E34" i="6"/>
  <c r="E20" i="5"/>
  <c r="E21" i="5"/>
  <c r="E37" i="6"/>
  <c r="E38" i="6"/>
  <c r="E31" i="6"/>
  <c r="E40" i="6"/>
  <c r="F6" i="4"/>
  <c r="F10" i="4"/>
  <c r="F33" i="4"/>
  <c r="F8" i="4"/>
  <c r="F7" i="4"/>
  <c r="F11" i="4"/>
  <c r="F34" i="4"/>
  <c r="F12" i="4"/>
  <c r="F35" i="4"/>
  <c r="F36" i="4"/>
  <c r="F10" i="6"/>
  <c r="F11" i="6"/>
  <c r="F12" i="6"/>
  <c r="F13" i="4"/>
  <c r="F18" i="4"/>
  <c r="F22" i="4"/>
  <c r="F3" i="4"/>
  <c r="F23" i="4"/>
  <c r="F24" i="4"/>
  <c r="F25" i="4"/>
  <c r="F26" i="4"/>
  <c r="F28" i="4"/>
  <c r="F30" i="4"/>
  <c r="F10" i="5"/>
  <c r="F11" i="5"/>
  <c r="F12" i="5"/>
  <c r="F15" i="5"/>
  <c r="F16" i="5"/>
  <c r="F17" i="5"/>
  <c r="F14" i="6"/>
  <c r="F15" i="6"/>
  <c r="F41" i="4"/>
  <c r="F42" i="4"/>
  <c r="F46" i="4"/>
  <c r="F47" i="4"/>
  <c r="F48" i="4"/>
  <c r="F49" i="4"/>
  <c r="F50" i="4"/>
  <c r="F52" i="4"/>
  <c r="F18" i="6"/>
  <c r="F19" i="6"/>
  <c r="F26" i="6"/>
  <c r="F29" i="6"/>
  <c r="F11" i="3"/>
  <c r="F13" i="3"/>
  <c r="F7" i="6"/>
  <c r="F33" i="6"/>
  <c r="F34" i="6"/>
  <c r="F20" i="5"/>
  <c r="F21" i="5"/>
  <c r="F37" i="6"/>
  <c r="F38" i="6"/>
  <c r="F31" i="6"/>
  <c r="F40" i="6"/>
  <c r="G6" i="4"/>
  <c r="G10" i="4"/>
  <c r="G33" i="4"/>
  <c r="G8" i="4"/>
  <c r="G7" i="4"/>
  <c r="G11" i="4"/>
  <c r="G34" i="4"/>
  <c r="G12" i="4"/>
  <c r="G35" i="4"/>
  <c r="G36" i="4"/>
  <c r="G10" i="6"/>
  <c r="G11" i="6"/>
  <c r="G12" i="6"/>
  <c r="G13" i="4"/>
  <c r="G18" i="4"/>
  <c r="G22" i="4"/>
  <c r="G3" i="4"/>
  <c r="G23" i="4"/>
  <c r="G24" i="4"/>
  <c r="G25" i="4"/>
  <c r="G26" i="4"/>
  <c r="G28" i="4"/>
  <c r="G30" i="4"/>
  <c r="G10" i="5"/>
  <c r="G11" i="5"/>
  <c r="G12" i="5"/>
  <c r="G15" i="5"/>
  <c r="G16" i="5"/>
  <c r="G17" i="5"/>
  <c r="G14" i="6"/>
  <c r="G15" i="6"/>
  <c r="G41" i="4"/>
  <c r="G42" i="4"/>
  <c r="G46" i="4"/>
  <c r="G47" i="4"/>
  <c r="G48" i="4"/>
  <c r="G49" i="4"/>
  <c r="G50" i="4"/>
  <c r="G52" i="4"/>
  <c r="G18" i="6"/>
  <c r="G19" i="6"/>
  <c r="G26" i="6"/>
  <c r="G29" i="6"/>
  <c r="G11" i="3"/>
  <c r="G13" i="3"/>
  <c r="G7" i="6"/>
  <c r="G33" i="6"/>
  <c r="G34" i="6"/>
  <c r="G20" i="5"/>
  <c r="G21" i="5"/>
  <c r="G37" i="6"/>
  <c r="G38" i="6"/>
  <c r="G31" i="6"/>
  <c r="G40" i="6"/>
  <c r="H6" i="4"/>
  <c r="H10" i="4"/>
  <c r="H33" i="4"/>
  <c r="H8" i="4"/>
  <c r="H7" i="4"/>
  <c r="H11" i="4"/>
  <c r="H34" i="4"/>
  <c r="H12" i="4"/>
  <c r="H35" i="4"/>
  <c r="H36" i="4"/>
  <c r="H10" i="6"/>
  <c r="H11" i="6"/>
  <c r="H12" i="6"/>
  <c r="H13" i="4"/>
  <c r="H18" i="4"/>
  <c r="H22" i="4"/>
  <c r="H3" i="4"/>
  <c r="H23" i="4"/>
  <c r="H24" i="4"/>
  <c r="H25" i="4"/>
  <c r="H26" i="4"/>
  <c r="H28" i="4"/>
  <c r="H30" i="4"/>
  <c r="H10" i="5"/>
  <c r="H11" i="5"/>
  <c r="H12" i="5"/>
  <c r="H15" i="5"/>
  <c r="H16" i="5"/>
  <c r="H17" i="5"/>
  <c r="H14" i="6"/>
  <c r="H15" i="6"/>
  <c r="H41" i="4"/>
  <c r="H42" i="4"/>
  <c r="H46" i="4"/>
  <c r="H47" i="4"/>
  <c r="H48" i="4"/>
  <c r="H49" i="4"/>
  <c r="H50" i="4"/>
  <c r="H52" i="4"/>
  <c r="H18" i="6"/>
  <c r="H19" i="6"/>
  <c r="H26" i="6"/>
  <c r="H29" i="6"/>
  <c r="H11" i="3"/>
  <c r="H13" i="3"/>
  <c r="H7" i="6"/>
  <c r="H33" i="6"/>
  <c r="H34" i="6"/>
  <c r="H20" i="5"/>
  <c r="H21" i="5"/>
  <c r="H37" i="6"/>
  <c r="H38" i="6"/>
  <c r="H31" i="6"/>
  <c r="H40" i="6"/>
  <c r="I6" i="4"/>
  <c r="I10" i="4"/>
  <c r="I33" i="4"/>
  <c r="I8" i="4"/>
  <c r="I7" i="4"/>
  <c r="I11" i="4"/>
  <c r="I34" i="4"/>
  <c r="I12" i="4"/>
  <c r="I35" i="4"/>
  <c r="I36" i="4"/>
  <c r="I10" i="6"/>
  <c r="I11" i="6"/>
  <c r="I12" i="6"/>
  <c r="I13" i="4"/>
  <c r="I18" i="4"/>
  <c r="I22" i="4"/>
  <c r="I3" i="4"/>
  <c r="I23" i="4"/>
  <c r="I24" i="4"/>
  <c r="I25" i="4"/>
  <c r="I26" i="4"/>
  <c r="I28" i="4"/>
  <c r="I30" i="4"/>
  <c r="I10" i="5"/>
  <c r="I11" i="5"/>
  <c r="I12" i="5"/>
  <c r="I15" i="5"/>
  <c r="I16" i="5"/>
  <c r="I17" i="5"/>
  <c r="I14" i="6"/>
  <c r="I15" i="6"/>
  <c r="I41" i="4"/>
  <c r="I42" i="4"/>
  <c r="I46" i="4"/>
  <c r="I47" i="4"/>
  <c r="I48" i="4"/>
  <c r="I49" i="4"/>
  <c r="I50" i="4"/>
  <c r="I52" i="4"/>
  <c r="I18" i="6"/>
  <c r="I19" i="6"/>
  <c r="I26" i="6"/>
  <c r="I29" i="6"/>
  <c r="I11" i="3"/>
  <c r="I13" i="3"/>
  <c r="I7" i="6"/>
  <c r="I33" i="6"/>
  <c r="I34" i="6"/>
  <c r="I20" i="5"/>
  <c r="I21" i="5"/>
  <c r="I37" i="6"/>
  <c r="I38" i="6"/>
  <c r="I31" i="6"/>
  <c r="I40" i="6"/>
  <c r="J6" i="4"/>
  <c r="J10" i="4"/>
  <c r="J33" i="4"/>
  <c r="J8" i="4"/>
  <c r="J7" i="4"/>
  <c r="J11" i="4"/>
  <c r="J34" i="4"/>
  <c r="J12" i="4"/>
  <c r="J35" i="4"/>
  <c r="J36" i="4"/>
  <c r="J10" i="6"/>
  <c r="J11" i="6"/>
  <c r="J12" i="6"/>
  <c r="J13" i="4"/>
  <c r="J18" i="4"/>
  <c r="J22" i="4"/>
  <c r="J3" i="4"/>
  <c r="J23" i="4"/>
  <c r="J24" i="4"/>
  <c r="J25" i="4"/>
  <c r="J26" i="4"/>
  <c r="J28" i="4"/>
  <c r="J30" i="4"/>
  <c r="J10" i="5"/>
  <c r="J11" i="5"/>
  <c r="J12" i="5"/>
  <c r="J15" i="5"/>
  <c r="J16" i="5"/>
  <c r="J17" i="5"/>
  <c r="J14" i="6"/>
  <c r="J15" i="6"/>
  <c r="J41" i="4"/>
  <c r="J42" i="4"/>
  <c r="J46" i="4"/>
  <c r="J47" i="4"/>
  <c r="J48" i="4"/>
  <c r="J49" i="4"/>
  <c r="J50" i="4"/>
  <c r="J52" i="4"/>
  <c r="J18" i="6"/>
  <c r="J19" i="6"/>
  <c r="J26" i="6"/>
  <c r="J29" i="6"/>
  <c r="J11" i="3"/>
  <c r="J13" i="3"/>
  <c r="J7" i="6"/>
  <c r="J33" i="6"/>
  <c r="J34" i="6"/>
  <c r="J20" i="5"/>
  <c r="J21" i="5"/>
  <c r="J37" i="6"/>
  <c r="J38" i="6"/>
  <c r="J31" i="6"/>
  <c r="J40" i="6"/>
  <c r="K6" i="4"/>
  <c r="K10" i="4"/>
  <c r="K33" i="4"/>
  <c r="K8" i="4"/>
  <c r="K7" i="4"/>
  <c r="K11" i="4"/>
  <c r="K34" i="4"/>
  <c r="K12" i="4"/>
  <c r="K35" i="4"/>
  <c r="K36" i="4"/>
  <c r="K10" i="6"/>
  <c r="K11" i="6"/>
  <c r="K12" i="6"/>
  <c r="K13" i="4"/>
  <c r="K18" i="4"/>
  <c r="K22" i="4"/>
  <c r="K3" i="4"/>
  <c r="K23" i="4"/>
  <c r="K24" i="4"/>
  <c r="K25" i="4"/>
  <c r="K26" i="4"/>
  <c r="K28" i="4"/>
  <c r="K30" i="4"/>
  <c r="K10" i="5"/>
  <c r="K11" i="5"/>
  <c r="K12" i="5"/>
  <c r="K15" i="5"/>
  <c r="K16" i="5"/>
  <c r="K17" i="5"/>
  <c r="K14" i="6"/>
  <c r="K15" i="6"/>
  <c r="K41" i="4"/>
  <c r="K42" i="4"/>
  <c r="K46" i="4"/>
  <c r="K47" i="4"/>
  <c r="K48" i="4"/>
  <c r="K49" i="4"/>
  <c r="K50" i="4"/>
  <c r="K52" i="4"/>
  <c r="K18" i="6"/>
  <c r="K19" i="6"/>
  <c r="K26" i="6"/>
  <c r="K29" i="6"/>
  <c r="K11" i="3"/>
  <c r="K13" i="3"/>
  <c r="K7" i="6"/>
  <c r="K33" i="6"/>
  <c r="K34" i="6"/>
  <c r="K20" i="5"/>
  <c r="K21" i="5"/>
  <c r="K37" i="6"/>
  <c r="K38" i="6"/>
  <c r="K31" i="6"/>
  <c r="K40" i="6"/>
  <c r="L6" i="4"/>
  <c r="L10" i="4"/>
  <c r="L33" i="4"/>
  <c r="L8" i="4"/>
  <c r="L7" i="4"/>
  <c r="L11" i="4"/>
  <c r="L34" i="4"/>
  <c r="L12" i="4"/>
  <c r="L35" i="4"/>
  <c r="L36" i="4"/>
  <c r="L10" i="6"/>
  <c r="L11" i="6"/>
  <c r="L12" i="6"/>
  <c r="L13" i="4"/>
  <c r="L18" i="4"/>
  <c r="L22" i="4"/>
  <c r="L3" i="4"/>
  <c r="L23" i="4"/>
  <c r="L24" i="4"/>
  <c r="L25" i="4"/>
  <c r="L26" i="4"/>
  <c r="L28" i="4"/>
  <c r="L30" i="4"/>
  <c r="L10" i="5"/>
  <c r="L11" i="5"/>
  <c r="L12" i="5"/>
  <c r="L15" i="5"/>
  <c r="L16" i="5"/>
  <c r="L17" i="5"/>
  <c r="L14" i="6"/>
  <c r="L15" i="6"/>
  <c r="L41" i="4"/>
  <c r="L42" i="4"/>
  <c r="L46" i="4"/>
  <c r="L47" i="4"/>
  <c r="L48" i="4"/>
  <c r="L49" i="4"/>
  <c r="L50" i="4"/>
  <c r="L52" i="4"/>
  <c r="L18" i="6"/>
  <c r="L19" i="6"/>
  <c r="L26" i="6"/>
  <c r="L29" i="6"/>
  <c r="L11" i="3"/>
  <c r="L13" i="3"/>
  <c r="L7" i="6"/>
  <c r="L33" i="6"/>
  <c r="L34" i="6"/>
  <c r="L20" i="5"/>
  <c r="L21" i="5"/>
  <c r="L37" i="6"/>
  <c r="L38" i="6"/>
  <c r="L31" i="6"/>
  <c r="L40" i="6"/>
  <c r="M6" i="4"/>
  <c r="M10" i="4"/>
  <c r="M33" i="4"/>
  <c r="M8" i="4"/>
  <c r="M7" i="4"/>
  <c r="M11" i="4"/>
  <c r="M34" i="4"/>
  <c r="M12" i="4"/>
  <c r="M35" i="4"/>
  <c r="M36" i="4"/>
  <c r="M10" i="6"/>
  <c r="M11" i="6"/>
  <c r="M12" i="6"/>
  <c r="M13" i="4"/>
  <c r="M18" i="4"/>
  <c r="M22" i="4"/>
  <c r="M3" i="4"/>
  <c r="M23" i="4"/>
  <c r="M24" i="4"/>
  <c r="M25" i="4"/>
  <c r="M26" i="4"/>
  <c r="M28" i="4"/>
  <c r="M30" i="4"/>
  <c r="M10" i="5"/>
  <c r="M11" i="5"/>
  <c r="M12" i="5"/>
  <c r="M15" i="5"/>
  <c r="M16" i="5"/>
  <c r="M17" i="5"/>
  <c r="M14" i="6"/>
  <c r="M15" i="6"/>
  <c r="M41" i="4"/>
  <c r="M42" i="4"/>
  <c r="M46" i="4"/>
  <c r="M47" i="4"/>
  <c r="M48" i="4"/>
  <c r="M49" i="4"/>
  <c r="M50" i="4"/>
  <c r="M52" i="4"/>
  <c r="M18" i="6"/>
  <c r="M19" i="6"/>
  <c r="M26" i="6"/>
  <c r="M29" i="6"/>
  <c r="M11" i="3"/>
  <c r="M13" i="3"/>
  <c r="M7" i="6"/>
  <c r="M33" i="6"/>
  <c r="M34" i="6"/>
  <c r="M20" i="5"/>
  <c r="M21" i="5"/>
  <c r="M37" i="6"/>
  <c r="M38" i="6"/>
  <c r="M31" i="6"/>
  <c r="M40" i="6"/>
  <c r="N6" i="4"/>
  <c r="N10" i="4"/>
  <c r="N33" i="4"/>
  <c r="N8" i="4"/>
  <c r="N7" i="4"/>
  <c r="N11" i="4"/>
  <c r="N34" i="4"/>
  <c r="N12" i="4"/>
  <c r="N35" i="4"/>
  <c r="N36" i="4"/>
  <c r="N10" i="6"/>
  <c r="N11" i="6"/>
  <c r="N12" i="6"/>
  <c r="N13" i="4"/>
  <c r="N18" i="4"/>
  <c r="N22" i="4"/>
  <c r="N3" i="4"/>
  <c r="N23" i="4"/>
  <c r="N24" i="4"/>
  <c r="N25" i="4"/>
  <c r="N26" i="4"/>
  <c r="N28" i="4"/>
  <c r="N30" i="4"/>
  <c r="N10" i="5"/>
  <c r="N11" i="5"/>
  <c r="N12" i="5"/>
  <c r="N15" i="5"/>
  <c r="N16" i="5"/>
  <c r="N17" i="5"/>
  <c r="N14" i="6"/>
  <c r="N15" i="6"/>
  <c r="N41" i="4"/>
  <c r="N42" i="4"/>
  <c r="N46" i="4"/>
  <c r="N47" i="4"/>
  <c r="N48" i="4"/>
  <c r="N49" i="4"/>
  <c r="N50" i="4"/>
  <c r="N52" i="4"/>
  <c r="N18" i="6"/>
  <c r="N19" i="6"/>
  <c r="N26" i="6"/>
  <c r="N29" i="6"/>
  <c r="N11" i="3"/>
  <c r="N13" i="3"/>
  <c r="N7" i="6"/>
  <c r="N33" i="6"/>
  <c r="N34" i="6"/>
  <c r="N20" i="5"/>
  <c r="N21" i="5"/>
  <c r="N37" i="6"/>
  <c r="N38" i="6"/>
  <c r="N31" i="6"/>
  <c r="N40" i="6"/>
  <c r="O6" i="4"/>
  <c r="O10" i="4"/>
  <c r="O33" i="4"/>
  <c r="O8" i="4"/>
  <c r="O7" i="4"/>
  <c r="O11" i="4"/>
  <c r="O34" i="4"/>
  <c r="O12" i="4"/>
  <c r="O35" i="4"/>
  <c r="O36" i="4"/>
  <c r="O10" i="6"/>
  <c r="O11" i="6"/>
  <c r="O12" i="6"/>
  <c r="O13" i="4"/>
  <c r="O18" i="4"/>
  <c r="O22" i="4"/>
  <c r="O3" i="4"/>
  <c r="O23" i="4"/>
  <c r="O24" i="4"/>
  <c r="O25" i="4"/>
  <c r="O26" i="4"/>
  <c r="O28" i="4"/>
  <c r="O30" i="4"/>
  <c r="O10" i="5"/>
  <c r="O11" i="5"/>
  <c r="O12" i="5"/>
  <c r="O15" i="5"/>
  <c r="O16" i="5"/>
  <c r="O17" i="5"/>
  <c r="O14" i="6"/>
  <c r="O15" i="6"/>
  <c r="O41" i="4"/>
  <c r="O42" i="4"/>
  <c r="O46" i="4"/>
  <c r="O47" i="4"/>
  <c r="O48" i="4"/>
  <c r="O49" i="4"/>
  <c r="O50" i="4"/>
  <c r="O52" i="4"/>
  <c r="O18" i="6"/>
  <c r="O19" i="6"/>
  <c r="O26" i="6"/>
  <c r="O29" i="6"/>
  <c r="O11" i="3"/>
  <c r="O13" i="3"/>
  <c r="O7" i="6"/>
  <c r="O33" i="6"/>
  <c r="O34" i="6"/>
  <c r="O20" i="5"/>
  <c r="O21" i="5"/>
  <c r="O37" i="6"/>
  <c r="O38" i="6"/>
  <c r="O31" i="6"/>
  <c r="O40" i="6"/>
  <c r="P6" i="4"/>
  <c r="P10" i="4"/>
  <c r="P33" i="4"/>
  <c r="P8" i="4"/>
  <c r="P7" i="4"/>
  <c r="P11" i="4"/>
  <c r="P34" i="4"/>
  <c r="P12" i="4"/>
  <c r="P35" i="4"/>
  <c r="P36" i="4"/>
  <c r="P10" i="6"/>
  <c r="P11" i="6"/>
  <c r="P12" i="6"/>
  <c r="P13" i="4"/>
  <c r="P18" i="4"/>
  <c r="P22" i="4"/>
  <c r="P3" i="4"/>
  <c r="P23" i="4"/>
  <c r="P24" i="4"/>
  <c r="P25" i="4"/>
  <c r="P26" i="4"/>
  <c r="P28" i="4"/>
  <c r="P30" i="4"/>
  <c r="P10" i="5"/>
  <c r="P11" i="5"/>
  <c r="P12" i="5"/>
  <c r="P15" i="5"/>
  <c r="P16" i="5"/>
  <c r="P17" i="5"/>
  <c r="P14" i="6"/>
  <c r="P15" i="6"/>
  <c r="P41" i="4"/>
  <c r="P42" i="4"/>
  <c r="P46" i="4"/>
  <c r="P47" i="4"/>
  <c r="P48" i="4"/>
  <c r="P49" i="4"/>
  <c r="P50" i="4"/>
  <c r="P52" i="4"/>
  <c r="P18" i="6"/>
  <c r="P19" i="6"/>
  <c r="P26" i="6"/>
  <c r="P29" i="6"/>
  <c r="P11" i="3"/>
  <c r="P13" i="3"/>
  <c r="P7" i="6"/>
  <c r="P33" i="6"/>
  <c r="P34" i="6"/>
  <c r="P20" i="5"/>
  <c r="P21" i="5"/>
  <c r="P37" i="6"/>
  <c r="P38" i="6"/>
  <c r="P31" i="6"/>
  <c r="P40" i="6"/>
  <c r="Q6" i="4"/>
  <c r="Q10" i="4"/>
  <c r="Q33" i="4"/>
  <c r="Q8" i="4"/>
  <c r="Q7" i="4"/>
  <c r="Q11" i="4"/>
  <c r="Q34" i="4"/>
  <c r="Q12" i="4"/>
  <c r="Q35" i="4"/>
  <c r="Q36" i="4"/>
  <c r="Q10" i="6"/>
  <c r="Q11" i="6"/>
  <c r="Q12" i="6"/>
  <c r="Q13" i="4"/>
  <c r="Q18" i="4"/>
  <c r="Q22" i="4"/>
  <c r="Q3" i="4"/>
  <c r="Q23" i="4"/>
  <c r="Q24" i="4"/>
  <c r="Q25" i="4"/>
  <c r="Q26" i="4"/>
  <c r="Q28" i="4"/>
  <c r="Q30" i="4"/>
  <c r="Q10" i="5"/>
  <c r="Q11" i="5"/>
  <c r="Q12" i="5"/>
  <c r="Q15" i="5"/>
  <c r="Q16" i="5"/>
  <c r="Q17" i="5"/>
  <c r="Q14" i="6"/>
  <c r="Q15" i="6"/>
  <c r="Q41" i="4"/>
  <c r="Q42" i="4"/>
  <c r="Q46" i="4"/>
  <c r="Q47" i="4"/>
  <c r="Q48" i="4"/>
  <c r="Q49" i="4"/>
  <c r="Q50" i="4"/>
  <c r="Q52" i="4"/>
  <c r="Q18" i="6"/>
  <c r="Q19" i="6"/>
  <c r="Q26" i="6"/>
  <c r="Q29" i="6"/>
  <c r="Q11" i="3"/>
  <c r="Q13" i="3"/>
  <c r="Q7" i="6"/>
  <c r="Q33" i="6"/>
  <c r="Q34" i="6"/>
  <c r="Q20" i="5"/>
  <c r="Q21" i="5"/>
  <c r="Q37" i="6"/>
  <c r="Q38" i="6"/>
  <c r="Q31" i="6"/>
  <c r="Q40" i="6"/>
  <c r="R6" i="4"/>
  <c r="R10" i="4"/>
  <c r="R33" i="4"/>
  <c r="R8" i="4"/>
  <c r="R7" i="4"/>
  <c r="R11" i="4"/>
  <c r="R34" i="4"/>
  <c r="R12" i="4"/>
  <c r="R35" i="4"/>
  <c r="R36" i="4"/>
  <c r="R10" i="6"/>
  <c r="R11" i="6"/>
  <c r="R12" i="6"/>
  <c r="R13" i="4"/>
  <c r="R18" i="4"/>
  <c r="R22" i="4"/>
  <c r="R3" i="4"/>
  <c r="R23" i="4"/>
  <c r="R24" i="4"/>
  <c r="R25" i="4"/>
  <c r="R26" i="4"/>
  <c r="R28" i="4"/>
  <c r="R30" i="4"/>
  <c r="R10" i="5"/>
  <c r="R11" i="5"/>
  <c r="R12" i="5"/>
  <c r="R15" i="5"/>
  <c r="R16" i="5"/>
  <c r="R17" i="5"/>
  <c r="R14" i="6"/>
  <c r="R15" i="6"/>
  <c r="R41" i="4"/>
  <c r="R42" i="4"/>
  <c r="R46" i="4"/>
  <c r="R47" i="4"/>
  <c r="R48" i="4"/>
  <c r="R49" i="4"/>
  <c r="R50" i="4"/>
  <c r="R52" i="4"/>
  <c r="R18" i="6"/>
  <c r="R19" i="6"/>
  <c r="R26" i="6"/>
  <c r="R29" i="6"/>
  <c r="R11" i="3"/>
  <c r="R13" i="3"/>
  <c r="R7" i="6"/>
  <c r="R33" i="6"/>
  <c r="R34" i="6"/>
  <c r="R20" i="5"/>
  <c r="R21" i="5"/>
  <c r="R37" i="6"/>
  <c r="R38" i="6"/>
  <c r="R31" i="6"/>
  <c r="R40" i="6"/>
  <c r="S6" i="4"/>
  <c r="S10" i="4"/>
  <c r="S33" i="4"/>
  <c r="S8" i="4"/>
  <c r="S7" i="4"/>
  <c r="S11" i="4"/>
  <c r="S34" i="4"/>
  <c r="S12" i="4"/>
  <c r="S35" i="4"/>
  <c r="S36" i="4"/>
  <c r="S10" i="6"/>
  <c r="S11" i="6"/>
  <c r="S12" i="6"/>
  <c r="S13" i="4"/>
  <c r="S18" i="4"/>
  <c r="S22" i="4"/>
  <c r="S3" i="4"/>
  <c r="S23" i="4"/>
  <c r="S24" i="4"/>
  <c r="S25" i="4"/>
  <c r="S26" i="4"/>
  <c r="S28" i="4"/>
  <c r="S30" i="4"/>
  <c r="S10" i="5"/>
  <c r="S11" i="5"/>
  <c r="S12" i="5"/>
  <c r="S15" i="5"/>
  <c r="S16" i="5"/>
  <c r="S17" i="5"/>
  <c r="S14" i="6"/>
  <c r="S15" i="6"/>
  <c r="S41" i="4"/>
  <c r="S42" i="4"/>
  <c r="S46" i="4"/>
  <c r="S47" i="4"/>
  <c r="S48" i="4"/>
  <c r="S49" i="4"/>
  <c r="S50" i="4"/>
  <c r="S52" i="4"/>
  <c r="S18" i="6"/>
  <c r="S19" i="6"/>
  <c r="S26" i="6"/>
  <c r="S29" i="6"/>
  <c r="S11" i="3"/>
  <c r="S13" i="3"/>
  <c r="S7" i="6"/>
  <c r="S33" i="6"/>
  <c r="S34" i="6"/>
  <c r="S20" i="5"/>
  <c r="S21" i="5"/>
  <c r="S37" i="6"/>
  <c r="S38" i="6"/>
  <c r="S31" i="6"/>
  <c r="S40" i="6"/>
  <c r="T6" i="4"/>
  <c r="T10" i="4"/>
  <c r="T33" i="4"/>
  <c r="T8" i="4"/>
  <c r="T7" i="4"/>
  <c r="T11" i="4"/>
  <c r="T34" i="4"/>
  <c r="T12" i="4"/>
  <c r="T35" i="4"/>
  <c r="T36" i="4"/>
  <c r="T10" i="6"/>
  <c r="T11" i="6"/>
  <c r="T12" i="6"/>
  <c r="T13" i="4"/>
  <c r="T18" i="4"/>
  <c r="T22" i="4"/>
  <c r="T3" i="4"/>
  <c r="T23" i="4"/>
  <c r="T24" i="4"/>
  <c r="T25" i="4"/>
  <c r="T26" i="4"/>
  <c r="T28" i="4"/>
  <c r="T30" i="4"/>
  <c r="T10" i="5"/>
  <c r="T11" i="5"/>
  <c r="T12" i="5"/>
  <c r="T15" i="5"/>
  <c r="T16" i="5"/>
  <c r="T17" i="5"/>
  <c r="T14" i="6"/>
  <c r="T15" i="6"/>
  <c r="T41" i="4"/>
  <c r="T42" i="4"/>
  <c r="T46" i="4"/>
  <c r="T47" i="4"/>
  <c r="T48" i="4"/>
  <c r="T49" i="4"/>
  <c r="T50" i="4"/>
  <c r="T52" i="4"/>
  <c r="T18" i="6"/>
  <c r="T19" i="6"/>
  <c r="T26" i="6"/>
  <c r="T29" i="6"/>
  <c r="T11" i="3"/>
  <c r="T13" i="3"/>
  <c r="T7" i="6"/>
  <c r="T33" i="6"/>
  <c r="T34" i="6"/>
  <c r="T20" i="5"/>
  <c r="T21" i="5"/>
  <c r="T37" i="6"/>
  <c r="T38" i="6"/>
  <c r="T31" i="6"/>
  <c r="T40" i="6"/>
  <c r="U6" i="4"/>
  <c r="U10" i="4"/>
  <c r="U33" i="4"/>
  <c r="U8" i="4"/>
  <c r="U7" i="4"/>
  <c r="U11" i="4"/>
  <c r="U34" i="4"/>
  <c r="U12" i="4"/>
  <c r="U35" i="4"/>
  <c r="U36" i="4"/>
  <c r="U10" i="6"/>
  <c r="U11" i="6"/>
  <c r="U12" i="6"/>
  <c r="U13" i="4"/>
  <c r="U18" i="4"/>
  <c r="U22" i="4"/>
  <c r="U3" i="4"/>
  <c r="U23" i="4"/>
  <c r="U24" i="4"/>
  <c r="U25" i="4"/>
  <c r="U26" i="4"/>
  <c r="U28" i="4"/>
  <c r="U30" i="4"/>
  <c r="U10" i="5"/>
  <c r="U11" i="5"/>
  <c r="U12" i="5"/>
  <c r="U15" i="5"/>
  <c r="U16" i="5"/>
  <c r="U17" i="5"/>
  <c r="U14" i="6"/>
  <c r="U15" i="6"/>
  <c r="U41" i="4"/>
  <c r="U42" i="4"/>
  <c r="U46" i="4"/>
  <c r="U47" i="4"/>
  <c r="U48" i="4"/>
  <c r="U49" i="4"/>
  <c r="U50" i="4"/>
  <c r="U52" i="4"/>
  <c r="U18" i="6"/>
  <c r="U19" i="6"/>
  <c r="U26" i="6"/>
  <c r="U29" i="6"/>
  <c r="U11" i="3"/>
  <c r="U13" i="3"/>
  <c r="U7" i="6"/>
  <c r="U33" i="6"/>
  <c r="U34" i="6"/>
  <c r="U20" i="5"/>
  <c r="U21" i="5"/>
  <c r="U37" i="6"/>
  <c r="U38" i="6"/>
  <c r="U31" i="6"/>
  <c r="U40" i="6"/>
  <c r="V6" i="4"/>
  <c r="V10" i="4"/>
  <c r="V33" i="4"/>
  <c r="V8" i="4"/>
  <c r="V7" i="4"/>
  <c r="V11" i="4"/>
  <c r="V34" i="4"/>
  <c r="V12" i="4"/>
  <c r="V35" i="4"/>
  <c r="V36" i="4"/>
  <c r="V10" i="6"/>
  <c r="V11" i="6"/>
  <c r="V12" i="6"/>
  <c r="V13" i="4"/>
  <c r="V18" i="4"/>
  <c r="V22" i="4"/>
  <c r="V3" i="4"/>
  <c r="V23" i="4"/>
  <c r="V24" i="4"/>
  <c r="V25" i="4"/>
  <c r="V26" i="4"/>
  <c r="V28" i="4"/>
  <c r="V30" i="4"/>
  <c r="V10" i="5"/>
  <c r="V11" i="5"/>
  <c r="V12" i="5"/>
  <c r="V15" i="5"/>
  <c r="V16" i="5"/>
  <c r="V17" i="5"/>
  <c r="V14" i="6"/>
  <c r="V15" i="6"/>
  <c r="V41" i="4"/>
  <c r="V42" i="4"/>
  <c r="V46" i="4"/>
  <c r="V47" i="4"/>
  <c r="V48" i="4"/>
  <c r="V49" i="4"/>
  <c r="V50" i="4"/>
  <c r="V52" i="4"/>
  <c r="V18" i="6"/>
  <c r="V19" i="6"/>
  <c r="V26" i="6"/>
  <c r="V29" i="6"/>
  <c r="V11" i="3"/>
  <c r="V13" i="3"/>
  <c r="V7" i="6"/>
  <c r="V33" i="6"/>
  <c r="V34" i="6"/>
  <c r="V20" i="5"/>
  <c r="V21" i="5"/>
  <c r="V37" i="6"/>
  <c r="V38" i="6"/>
  <c r="V31" i="6"/>
  <c r="V40" i="6"/>
  <c r="W19" i="6"/>
  <c r="W10" i="4"/>
  <c r="W7" i="4"/>
  <c r="W11" i="4"/>
  <c r="W12" i="4"/>
  <c r="W13" i="4"/>
  <c r="W18" i="4"/>
  <c r="W26" i="4"/>
  <c r="W28" i="4"/>
  <c r="W30" i="4"/>
  <c r="W10" i="5"/>
  <c r="W11" i="5"/>
  <c r="W12" i="5"/>
  <c r="W15" i="5"/>
  <c r="W16" i="5"/>
  <c r="W17" i="5"/>
  <c r="W26" i="6"/>
  <c r="W29" i="6"/>
  <c r="W33" i="4"/>
  <c r="W34" i="4"/>
  <c r="W35" i="4"/>
  <c r="W36" i="4"/>
  <c r="W10" i="6"/>
  <c r="W31" i="6"/>
  <c r="W11" i="3"/>
  <c r="W13" i="3"/>
  <c r="W7" i="6"/>
  <c r="W33" i="6"/>
  <c r="W34" i="6"/>
  <c r="W11" i="6"/>
  <c r="W12" i="6"/>
  <c r="W14" i="6"/>
  <c r="W15" i="6"/>
  <c r="W20" i="5"/>
  <c r="W21" i="5"/>
  <c r="W37" i="6"/>
  <c r="W38" i="6"/>
  <c r="W40" i="6"/>
  <c r="X6" i="4"/>
  <c r="X10" i="4"/>
  <c r="X33" i="4"/>
  <c r="X8" i="4"/>
  <c r="X7" i="4"/>
  <c r="X11" i="4"/>
  <c r="X34" i="4"/>
  <c r="X12" i="4"/>
  <c r="X35" i="4"/>
  <c r="X36" i="4"/>
  <c r="X10" i="6"/>
  <c r="X11" i="6"/>
  <c r="X12" i="6"/>
  <c r="X13" i="4"/>
  <c r="X18" i="4"/>
  <c r="X22" i="4"/>
  <c r="X3" i="4"/>
  <c r="X23" i="4"/>
  <c r="X24" i="4"/>
  <c r="X25" i="4"/>
  <c r="X26" i="4"/>
  <c r="X28" i="4"/>
  <c r="X30" i="4"/>
  <c r="X10" i="5"/>
  <c r="X11" i="5"/>
  <c r="X12" i="5"/>
  <c r="X15" i="5"/>
  <c r="X16" i="5"/>
  <c r="X17" i="5"/>
  <c r="X14" i="6"/>
  <c r="X15" i="6"/>
  <c r="X41" i="4"/>
  <c r="X42" i="4"/>
  <c r="X46" i="4"/>
  <c r="X47" i="4"/>
  <c r="X48" i="4"/>
  <c r="X49" i="4"/>
  <c r="X50" i="4"/>
  <c r="X52" i="4"/>
  <c r="X18" i="6"/>
  <c r="X19" i="6"/>
  <c r="X26" i="6"/>
  <c r="X29" i="6"/>
  <c r="X11" i="3"/>
  <c r="X13" i="3"/>
  <c r="X7" i="6"/>
  <c r="X33" i="6"/>
  <c r="X34" i="6"/>
  <c r="X20" i="5"/>
  <c r="X21" i="5"/>
  <c r="X37" i="6"/>
  <c r="X38" i="6"/>
  <c r="X31" i="6"/>
  <c r="X40" i="6"/>
  <c r="Y6" i="4"/>
  <c r="Y10" i="4"/>
  <c r="Y33" i="4"/>
  <c r="Y8" i="4"/>
  <c r="Y7" i="4"/>
  <c r="Y11" i="4"/>
  <c r="Y34" i="4"/>
  <c r="Y12" i="4"/>
  <c r="Y35" i="4"/>
  <c r="Y36" i="4"/>
  <c r="Y10" i="6"/>
  <c r="Y11" i="6"/>
  <c r="Y12" i="6"/>
  <c r="Y13" i="4"/>
  <c r="Y18" i="4"/>
  <c r="Y22" i="4"/>
  <c r="Y3" i="4"/>
  <c r="Y23" i="4"/>
  <c r="Y24" i="4"/>
  <c r="Y25" i="4"/>
  <c r="Y26" i="4"/>
  <c r="Y28" i="4"/>
  <c r="Y30" i="4"/>
  <c r="Y10" i="5"/>
  <c r="Y11" i="5"/>
  <c r="Y12" i="5"/>
  <c r="Y15" i="5"/>
  <c r="Y16" i="5"/>
  <c r="Y17" i="5"/>
  <c r="Y14" i="6"/>
  <c r="Y15" i="6"/>
  <c r="Y41" i="4"/>
  <c r="Y42" i="4"/>
  <c r="Y46" i="4"/>
  <c r="Y47" i="4"/>
  <c r="Y48" i="4"/>
  <c r="Y49" i="4"/>
  <c r="Y50" i="4"/>
  <c r="Y52" i="4"/>
  <c r="Y18" i="6"/>
  <c r="Y19" i="6"/>
  <c r="Y26" i="6"/>
  <c r="Y29" i="6"/>
  <c r="Y11" i="3"/>
  <c r="Y13" i="3"/>
  <c r="Y7" i="6"/>
  <c r="Y33" i="6"/>
  <c r="Y34" i="6"/>
  <c r="Y20" i="5"/>
  <c r="Y21" i="5"/>
  <c r="Y37" i="6"/>
  <c r="Y38" i="6"/>
  <c r="Y31" i="6"/>
  <c r="Y40" i="6"/>
  <c r="Z6" i="4"/>
  <c r="Z10" i="4"/>
  <c r="Z33" i="4"/>
  <c r="Z8" i="4"/>
  <c r="Z7" i="4"/>
  <c r="Z11" i="4"/>
  <c r="Z34" i="4"/>
  <c r="Z12" i="4"/>
  <c r="Z35" i="4"/>
  <c r="Z36" i="4"/>
  <c r="Z10" i="6"/>
  <c r="Z11" i="6"/>
  <c r="Z12" i="6"/>
  <c r="Z13" i="4"/>
  <c r="Z18" i="4"/>
  <c r="Z22" i="4"/>
  <c r="Z3" i="4"/>
  <c r="Z23" i="4"/>
  <c r="Z24" i="4"/>
  <c r="Z25" i="4"/>
  <c r="Z26" i="4"/>
  <c r="Z28" i="4"/>
  <c r="Z30" i="4"/>
  <c r="Z10" i="5"/>
  <c r="Z11" i="5"/>
  <c r="Z12" i="5"/>
  <c r="Z15" i="5"/>
  <c r="Z16" i="5"/>
  <c r="Z17" i="5"/>
  <c r="Z14" i="6"/>
  <c r="Z15" i="6"/>
  <c r="Z41" i="4"/>
  <c r="Z42" i="4"/>
  <c r="Z46" i="4"/>
  <c r="Z47" i="4"/>
  <c r="Z48" i="4"/>
  <c r="Z49" i="4"/>
  <c r="Z50" i="4"/>
  <c r="Z52" i="4"/>
  <c r="Z18" i="6"/>
  <c r="Z19" i="6"/>
  <c r="Z26" i="6"/>
  <c r="Z29" i="6"/>
  <c r="Z11" i="3"/>
  <c r="Z13" i="3"/>
  <c r="Z7" i="6"/>
  <c r="Z33" i="6"/>
  <c r="Z34" i="6"/>
  <c r="Z20" i="5"/>
  <c r="Z21" i="5"/>
  <c r="Z37" i="6"/>
  <c r="Z38" i="6"/>
  <c r="Z31" i="6"/>
  <c r="Z40" i="6"/>
  <c r="AA6" i="4"/>
  <c r="AA10" i="4"/>
  <c r="AA33" i="4"/>
  <c r="AA8" i="4"/>
  <c r="AA7" i="4"/>
  <c r="AA11" i="4"/>
  <c r="AA34" i="4"/>
  <c r="AA12" i="4"/>
  <c r="AA35" i="4"/>
  <c r="AA36" i="4"/>
  <c r="AA10" i="6"/>
  <c r="AA11" i="6"/>
  <c r="AA12" i="6"/>
  <c r="AA13" i="4"/>
  <c r="AA18" i="4"/>
  <c r="AA22" i="4"/>
  <c r="AA3" i="4"/>
  <c r="AA23" i="4"/>
  <c r="AA24" i="4"/>
  <c r="AA25" i="4"/>
  <c r="AA26" i="4"/>
  <c r="AA28" i="4"/>
  <c r="AA30" i="4"/>
  <c r="AA10" i="5"/>
  <c r="AA11" i="5"/>
  <c r="AA12" i="5"/>
  <c r="AA15" i="5"/>
  <c r="AA16" i="5"/>
  <c r="AA17" i="5"/>
  <c r="AA14" i="6"/>
  <c r="AA15" i="6"/>
  <c r="AA41" i="4"/>
  <c r="AA42" i="4"/>
  <c r="AA46" i="4"/>
  <c r="AA47" i="4"/>
  <c r="AA48" i="4"/>
  <c r="AA49" i="4"/>
  <c r="AA50" i="4"/>
  <c r="AA52" i="4"/>
  <c r="AA18" i="6"/>
  <c r="AA19" i="6"/>
  <c r="AA26" i="6"/>
  <c r="AA29" i="6"/>
  <c r="AA11" i="3"/>
  <c r="AA13" i="3"/>
  <c r="AA7" i="6"/>
  <c r="AA33" i="6"/>
  <c r="AA34" i="6"/>
  <c r="AA20" i="5"/>
  <c r="AA21" i="5"/>
  <c r="AA37" i="6"/>
  <c r="AA38" i="6"/>
  <c r="AA31" i="6"/>
  <c r="AA40" i="6"/>
  <c r="AB6" i="4"/>
  <c r="AB10" i="4"/>
  <c r="AB33" i="4"/>
  <c r="AB8" i="4"/>
  <c r="AB7" i="4"/>
  <c r="AB11" i="4"/>
  <c r="AB34" i="4"/>
  <c r="AB12" i="4"/>
  <c r="AB35" i="4"/>
  <c r="AB36" i="4"/>
  <c r="AB10" i="6"/>
  <c r="AB11" i="6"/>
  <c r="AB12" i="6"/>
  <c r="AB13" i="4"/>
  <c r="AB18" i="4"/>
  <c r="AB22" i="4"/>
  <c r="AB3" i="4"/>
  <c r="AB23" i="4"/>
  <c r="AB24" i="4"/>
  <c r="AB25" i="4"/>
  <c r="AB26" i="4"/>
  <c r="AB28" i="4"/>
  <c r="AB30" i="4"/>
  <c r="AB10" i="5"/>
  <c r="AB11" i="5"/>
  <c r="AB12" i="5"/>
  <c r="AB15" i="5"/>
  <c r="AB16" i="5"/>
  <c r="AB17" i="5"/>
  <c r="AB14" i="6"/>
  <c r="AB15" i="6"/>
  <c r="AB41" i="4"/>
  <c r="AB42" i="4"/>
  <c r="AB46" i="4"/>
  <c r="AB47" i="4"/>
  <c r="AB48" i="4"/>
  <c r="AB49" i="4"/>
  <c r="AB50" i="4"/>
  <c r="AB52" i="4"/>
  <c r="AB18" i="6"/>
  <c r="AB19" i="6"/>
  <c r="AB26" i="6"/>
  <c r="AB29" i="6"/>
  <c r="AB11" i="3"/>
  <c r="AB13" i="3"/>
  <c r="AB7" i="6"/>
  <c r="AB33" i="6"/>
  <c r="AB34" i="6"/>
  <c r="AB20" i="5"/>
  <c r="AB21" i="5"/>
  <c r="AB37" i="6"/>
  <c r="AB38" i="6"/>
  <c r="AB31" i="6"/>
  <c r="AB40" i="6"/>
  <c r="AC6" i="4"/>
  <c r="AC10" i="4"/>
  <c r="AC33" i="4"/>
  <c r="AC8" i="4"/>
  <c r="AC7" i="4"/>
  <c r="AC11" i="4"/>
  <c r="AC34" i="4"/>
  <c r="AC12" i="4"/>
  <c r="AC35" i="4"/>
  <c r="AC36" i="4"/>
  <c r="AC10" i="6"/>
  <c r="AC11" i="6"/>
  <c r="AC12" i="6"/>
  <c r="AC13" i="4"/>
  <c r="AC18" i="4"/>
  <c r="AC22" i="4"/>
  <c r="AC3" i="4"/>
  <c r="AC23" i="4"/>
  <c r="AC24" i="4"/>
  <c r="AC25" i="4"/>
  <c r="AC26" i="4"/>
  <c r="AC28" i="4"/>
  <c r="AC30" i="4"/>
  <c r="AC10" i="5"/>
  <c r="AC11" i="5"/>
  <c r="AC12" i="5"/>
  <c r="AC15" i="5"/>
  <c r="AC16" i="5"/>
  <c r="AC17" i="5"/>
  <c r="AC14" i="6"/>
  <c r="AC15" i="6"/>
  <c r="AC41" i="4"/>
  <c r="AC42" i="4"/>
  <c r="AC46" i="4"/>
  <c r="AC47" i="4"/>
  <c r="AC48" i="4"/>
  <c r="AC49" i="4"/>
  <c r="AC50" i="4"/>
  <c r="AC52" i="4"/>
  <c r="AC18" i="6"/>
  <c r="AC19" i="6"/>
  <c r="AC26" i="6"/>
  <c r="AC29" i="6"/>
  <c r="AC11" i="3"/>
  <c r="AC13" i="3"/>
  <c r="AC7" i="6"/>
  <c r="AC33" i="6"/>
  <c r="AC34" i="6"/>
  <c r="AC20" i="5"/>
  <c r="AC21" i="5"/>
  <c r="AC37" i="6"/>
  <c r="AC38" i="6"/>
  <c r="AC31" i="6"/>
  <c r="AC40" i="6"/>
  <c r="AD6" i="4"/>
  <c r="AD10" i="4"/>
  <c r="AD33" i="4"/>
  <c r="AD8" i="4"/>
  <c r="AD7" i="4"/>
  <c r="AD11" i="4"/>
  <c r="AD34" i="4"/>
  <c r="AD12" i="4"/>
  <c r="AD35" i="4"/>
  <c r="AD36" i="4"/>
  <c r="AD10" i="6"/>
  <c r="AD11" i="6"/>
  <c r="AD12" i="6"/>
  <c r="AD13" i="4"/>
  <c r="AD18" i="4"/>
  <c r="AD22" i="4"/>
  <c r="AD3" i="4"/>
  <c r="AD23" i="4"/>
  <c r="AD24" i="4"/>
  <c r="AD25" i="4"/>
  <c r="AD26" i="4"/>
  <c r="AD28" i="4"/>
  <c r="AD30" i="4"/>
  <c r="AD10" i="5"/>
  <c r="AD11" i="5"/>
  <c r="AD12" i="5"/>
  <c r="AD15" i="5"/>
  <c r="AD16" i="5"/>
  <c r="AD17" i="5"/>
  <c r="AD14" i="6"/>
  <c r="AD15" i="6"/>
  <c r="AD41" i="4"/>
  <c r="AD42" i="4"/>
  <c r="AD46" i="4"/>
  <c r="AD47" i="4"/>
  <c r="AD48" i="4"/>
  <c r="AD49" i="4"/>
  <c r="AD50" i="4"/>
  <c r="AD52" i="4"/>
  <c r="AD18" i="6"/>
  <c r="AD19" i="6"/>
  <c r="AD26" i="6"/>
  <c r="AD29" i="6"/>
  <c r="AD11" i="3"/>
  <c r="AD13" i="3"/>
  <c r="AD7" i="6"/>
  <c r="AD33" i="6"/>
  <c r="AD34" i="6"/>
  <c r="AD20" i="5"/>
  <c r="AD21" i="5"/>
  <c r="AD37" i="6"/>
  <c r="AD38" i="6"/>
  <c r="AD31" i="6"/>
  <c r="AD40" i="6"/>
  <c r="AE6" i="4"/>
  <c r="AE10" i="4"/>
  <c r="AE33" i="4"/>
  <c r="AE8" i="4"/>
  <c r="AE7" i="4"/>
  <c r="AE11" i="4"/>
  <c r="AE34" i="4"/>
  <c r="AE12" i="4"/>
  <c r="AE35" i="4"/>
  <c r="AE36" i="4"/>
  <c r="AE10" i="6"/>
  <c r="AE11" i="6"/>
  <c r="AE12" i="6"/>
  <c r="AE13" i="4"/>
  <c r="AE18" i="4"/>
  <c r="AE22" i="4"/>
  <c r="AE3" i="4"/>
  <c r="AE23" i="4"/>
  <c r="AE24" i="4"/>
  <c r="AE25" i="4"/>
  <c r="AE26" i="4"/>
  <c r="AE28" i="4"/>
  <c r="AE30" i="4"/>
  <c r="AE10" i="5"/>
  <c r="AE11" i="5"/>
  <c r="AE12" i="5"/>
  <c r="AE15" i="5"/>
  <c r="AE16" i="5"/>
  <c r="AE17" i="5"/>
  <c r="AE14" i="6"/>
  <c r="AE15" i="6"/>
  <c r="AE41" i="4"/>
  <c r="AE42" i="4"/>
  <c r="AE46" i="4"/>
  <c r="AE47" i="4"/>
  <c r="AE48" i="4"/>
  <c r="AE49" i="4"/>
  <c r="AE50" i="4"/>
  <c r="AE52" i="4"/>
  <c r="AE18" i="6"/>
  <c r="AE19" i="6"/>
  <c r="AE26" i="6"/>
  <c r="AE29" i="6"/>
  <c r="AE11" i="3"/>
  <c r="AE13" i="3"/>
  <c r="AE7" i="6"/>
  <c r="AE33" i="6"/>
  <c r="AE34" i="6"/>
  <c r="AE20" i="5"/>
  <c r="AE21" i="5"/>
  <c r="AE37" i="6"/>
  <c r="AE38" i="6"/>
  <c r="AE31" i="6"/>
  <c r="AE40" i="6"/>
  <c r="AF6" i="4"/>
  <c r="AF10" i="4"/>
  <c r="AF33" i="4"/>
  <c r="AF8" i="4"/>
  <c r="AF7" i="4"/>
  <c r="AF11" i="4"/>
  <c r="AF34" i="4"/>
  <c r="AF12" i="4"/>
  <c r="AF35" i="4"/>
  <c r="AF36" i="4"/>
  <c r="AF10" i="6"/>
  <c r="AF11" i="6"/>
  <c r="AF12" i="6"/>
  <c r="AF13" i="4"/>
  <c r="AF18" i="4"/>
  <c r="AF22" i="4"/>
  <c r="AF3" i="4"/>
  <c r="AF23" i="4"/>
  <c r="AF24" i="4"/>
  <c r="AF25" i="4"/>
  <c r="AF26" i="4"/>
  <c r="AF28" i="4"/>
  <c r="AF30" i="4"/>
  <c r="AF10" i="5"/>
  <c r="AF11" i="5"/>
  <c r="AF12" i="5"/>
  <c r="AF15" i="5"/>
  <c r="AF16" i="5"/>
  <c r="AF17" i="5"/>
  <c r="AF14" i="6"/>
  <c r="AF15" i="6"/>
  <c r="AF41" i="4"/>
  <c r="AF42" i="4"/>
  <c r="AF46" i="4"/>
  <c r="AF47" i="4"/>
  <c r="AF48" i="4"/>
  <c r="AF49" i="4"/>
  <c r="AF50" i="4"/>
  <c r="AF52" i="4"/>
  <c r="AF18" i="6"/>
  <c r="AF19" i="6"/>
  <c r="AF26" i="6"/>
  <c r="AF29" i="6"/>
  <c r="AF11" i="3"/>
  <c r="AF13" i="3"/>
  <c r="AF7" i="6"/>
  <c r="AF33" i="6"/>
  <c r="AF34" i="6"/>
  <c r="AF20" i="5"/>
  <c r="AF21" i="5"/>
  <c r="AF37" i="6"/>
  <c r="AF38" i="6"/>
  <c r="AF31" i="6"/>
  <c r="AF40" i="6"/>
  <c r="AG6" i="4"/>
  <c r="AG10" i="4"/>
  <c r="AG33" i="4"/>
  <c r="AG8" i="4"/>
  <c r="AG7" i="4"/>
  <c r="AG11" i="4"/>
  <c r="AG34" i="4"/>
  <c r="AG12" i="4"/>
  <c r="AG35" i="4"/>
  <c r="AG36" i="4"/>
  <c r="AG10" i="6"/>
  <c r="AG11" i="6"/>
  <c r="AG12" i="6"/>
  <c r="AG13" i="4"/>
  <c r="AG18" i="4"/>
  <c r="AG22" i="4"/>
  <c r="AG3" i="4"/>
  <c r="AG23" i="4"/>
  <c r="AG24" i="4"/>
  <c r="AG25" i="4"/>
  <c r="AG26" i="4"/>
  <c r="AG28" i="4"/>
  <c r="AG30" i="4"/>
  <c r="AG10" i="5"/>
  <c r="AG11" i="5"/>
  <c r="AG12" i="5"/>
  <c r="AG15" i="5"/>
  <c r="AG16" i="5"/>
  <c r="AG17" i="5"/>
  <c r="AG14" i="6"/>
  <c r="AG15" i="6"/>
  <c r="AG41" i="4"/>
  <c r="AG42" i="4"/>
  <c r="AG46" i="4"/>
  <c r="AG47" i="4"/>
  <c r="AG48" i="4"/>
  <c r="AG49" i="4"/>
  <c r="AG50" i="4"/>
  <c r="AG52" i="4"/>
  <c r="AG18" i="6"/>
  <c r="AG19" i="6"/>
  <c r="AG26" i="6"/>
  <c r="AG29" i="6"/>
  <c r="AG11" i="3"/>
  <c r="AG13" i="3"/>
  <c r="AG7" i="6"/>
  <c r="AG33" i="6"/>
  <c r="AG34" i="6"/>
  <c r="AG20" i="5"/>
  <c r="AG21" i="5"/>
  <c r="AG37" i="6"/>
  <c r="AG38" i="6"/>
  <c r="AG31" i="6"/>
  <c r="AG40" i="6"/>
  <c r="AH6" i="4"/>
  <c r="AH10" i="4"/>
  <c r="AH33" i="4"/>
  <c r="AH8" i="4"/>
  <c r="AH7" i="4"/>
  <c r="AH11" i="4"/>
  <c r="AH34" i="4"/>
  <c r="AH12" i="4"/>
  <c r="AH35" i="4"/>
  <c r="AH36" i="4"/>
  <c r="AH10" i="6"/>
  <c r="AH11" i="6"/>
  <c r="AH12" i="6"/>
  <c r="AH13" i="4"/>
  <c r="AH18" i="4"/>
  <c r="AH22" i="4"/>
  <c r="AH3" i="4"/>
  <c r="AH23" i="4"/>
  <c r="AH24" i="4"/>
  <c r="AH25" i="4"/>
  <c r="AH26" i="4"/>
  <c r="AH28" i="4"/>
  <c r="AH30" i="4"/>
  <c r="AH10" i="5"/>
  <c r="AH11" i="5"/>
  <c r="AH12" i="5"/>
  <c r="AH15" i="5"/>
  <c r="AH16" i="5"/>
  <c r="AH17" i="5"/>
  <c r="AH14" i="6"/>
  <c r="AH15" i="6"/>
  <c r="AH41" i="4"/>
  <c r="AH42" i="4"/>
  <c r="AH46" i="4"/>
  <c r="AH47" i="4"/>
  <c r="AH48" i="4"/>
  <c r="AH49" i="4"/>
  <c r="AH50" i="4"/>
  <c r="AH52" i="4"/>
  <c r="AH18" i="6"/>
  <c r="AH19" i="6"/>
  <c r="AH26" i="6"/>
  <c r="AH29" i="6"/>
  <c r="AH11" i="3"/>
  <c r="AH13" i="3"/>
  <c r="AH7" i="6"/>
  <c r="AH33" i="6"/>
  <c r="AH34" i="6"/>
  <c r="AH20" i="5"/>
  <c r="AH21" i="5"/>
  <c r="AH37" i="6"/>
  <c r="AH38" i="6"/>
  <c r="AH31" i="6"/>
  <c r="AH40" i="6"/>
  <c r="AI6" i="4"/>
  <c r="AI10" i="4"/>
  <c r="AI33" i="4"/>
  <c r="AI8" i="4"/>
  <c r="AI7" i="4"/>
  <c r="AI11" i="4"/>
  <c r="AI34" i="4"/>
  <c r="AI12" i="4"/>
  <c r="AI35" i="4"/>
  <c r="AI36" i="4"/>
  <c r="AI10" i="6"/>
  <c r="AI11" i="6"/>
  <c r="AI12" i="6"/>
  <c r="AI13" i="4"/>
  <c r="AI18" i="4"/>
  <c r="AI22" i="4"/>
  <c r="AI3" i="4"/>
  <c r="AI23" i="4"/>
  <c r="AI24" i="4"/>
  <c r="AI25" i="4"/>
  <c r="AI26" i="4"/>
  <c r="AI28" i="4"/>
  <c r="AI30" i="4"/>
  <c r="AI10" i="5"/>
  <c r="AI11" i="5"/>
  <c r="AI12" i="5"/>
  <c r="AI15" i="5"/>
  <c r="AI16" i="5"/>
  <c r="AI17" i="5"/>
  <c r="AI14" i="6"/>
  <c r="AI15" i="6"/>
  <c r="AI41" i="4"/>
  <c r="AI42" i="4"/>
  <c r="AI46" i="4"/>
  <c r="AI47" i="4"/>
  <c r="AI48" i="4"/>
  <c r="AI49" i="4"/>
  <c r="AI50" i="4"/>
  <c r="AI52" i="4"/>
  <c r="AI18" i="6"/>
  <c r="AI19" i="6"/>
  <c r="AI26" i="6"/>
  <c r="AI29" i="6"/>
  <c r="AI11" i="3"/>
  <c r="AI13" i="3"/>
  <c r="AI7" i="6"/>
  <c r="AI33" i="6"/>
  <c r="AI34" i="6"/>
  <c r="AI20" i="5"/>
  <c r="AI21" i="5"/>
  <c r="AI37" i="6"/>
  <c r="AI38" i="6"/>
  <c r="AI31" i="6"/>
  <c r="AI40" i="6"/>
  <c r="AJ6" i="4"/>
  <c r="AJ10" i="4"/>
  <c r="AJ33" i="4"/>
  <c r="AJ8" i="4"/>
  <c r="AJ7" i="4"/>
  <c r="AJ11" i="4"/>
  <c r="AJ34" i="4"/>
  <c r="AJ12" i="4"/>
  <c r="AJ35" i="4"/>
  <c r="AJ36" i="4"/>
  <c r="AJ10" i="6"/>
  <c r="AJ11" i="6"/>
  <c r="AJ12" i="6"/>
  <c r="AJ13" i="4"/>
  <c r="AJ18" i="4"/>
  <c r="AJ22" i="4"/>
  <c r="AJ3" i="4"/>
  <c r="AJ23" i="4"/>
  <c r="AJ24" i="4"/>
  <c r="AJ25" i="4"/>
  <c r="AJ26" i="4"/>
  <c r="AJ28" i="4"/>
  <c r="AJ30" i="4"/>
  <c r="AJ10" i="5"/>
  <c r="AJ11" i="5"/>
  <c r="AJ12" i="5"/>
  <c r="AJ15" i="5"/>
  <c r="AJ16" i="5"/>
  <c r="AJ17" i="5"/>
  <c r="AJ14" i="6"/>
  <c r="AJ15" i="6"/>
  <c r="AJ41" i="4"/>
  <c r="AJ42" i="4"/>
  <c r="AJ46" i="4"/>
  <c r="AJ47" i="4"/>
  <c r="AJ48" i="4"/>
  <c r="AJ49" i="4"/>
  <c r="AJ50" i="4"/>
  <c r="AJ52" i="4"/>
  <c r="AJ18" i="6"/>
  <c r="AJ19" i="6"/>
  <c r="AJ26" i="6"/>
  <c r="AJ29" i="6"/>
  <c r="AJ11" i="3"/>
  <c r="AJ13" i="3"/>
  <c r="AJ7" i="6"/>
  <c r="AJ33" i="6"/>
  <c r="AJ34" i="6"/>
  <c r="AJ20" i="5"/>
  <c r="AJ21" i="5"/>
  <c r="AJ37" i="6"/>
  <c r="AJ38" i="6"/>
  <c r="AJ31" i="6"/>
  <c r="AJ40" i="6"/>
  <c r="AK6" i="4"/>
  <c r="AK10" i="4"/>
  <c r="AK33" i="4"/>
  <c r="AK8" i="4"/>
  <c r="AK7" i="4"/>
  <c r="AK11" i="4"/>
  <c r="AK34" i="4"/>
  <c r="AK12" i="4"/>
  <c r="AK35" i="4"/>
  <c r="AK36" i="4"/>
  <c r="AK10" i="6"/>
  <c r="AK11" i="6"/>
  <c r="AK12" i="6"/>
  <c r="AK13" i="4"/>
  <c r="AK22" i="4"/>
  <c r="AK26" i="4"/>
  <c r="AK28" i="4"/>
  <c r="AK30" i="4"/>
  <c r="AK10" i="5"/>
  <c r="AK11" i="5"/>
  <c r="AK12" i="5"/>
  <c r="AK15" i="5"/>
  <c r="AK16" i="5"/>
  <c r="AK17" i="5"/>
  <c r="AK14" i="6"/>
  <c r="AK15" i="6"/>
  <c r="AK41" i="4"/>
  <c r="AK42" i="4"/>
  <c r="AK46" i="4"/>
  <c r="AK47" i="4"/>
  <c r="AK48" i="4"/>
  <c r="AK49" i="4"/>
  <c r="AK50" i="4"/>
  <c r="AK52" i="4"/>
  <c r="AK18" i="6"/>
  <c r="AK19" i="6"/>
  <c r="AK26" i="6"/>
  <c r="AK29" i="6"/>
  <c r="AK11" i="3"/>
  <c r="AK13" i="3"/>
  <c r="AK7" i="6"/>
  <c r="AK33" i="6"/>
  <c r="AK34" i="6"/>
  <c r="AK20" i="5"/>
  <c r="AK21" i="5"/>
  <c r="AK37" i="6"/>
  <c r="AK38" i="6"/>
  <c r="AK31" i="6"/>
  <c r="AK40" i="6"/>
  <c r="D8" i="2"/>
  <c r="C28" i="6"/>
  <c r="C26" i="7"/>
  <c r="D28" i="6"/>
  <c r="D26" i="7"/>
  <c r="E28" i="6"/>
  <c r="E26" i="7"/>
  <c r="F28" i="6"/>
  <c r="F26" i="7"/>
  <c r="G28" i="6"/>
  <c r="G26" i="7"/>
  <c r="H28" i="6"/>
  <c r="H26" i="7"/>
  <c r="I28" i="6"/>
  <c r="I26" i="7"/>
  <c r="J28" i="6"/>
  <c r="J26" i="7"/>
  <c r="K28" i="6"/>
  <c r="K26" i="7"/>
  <c r="L28" i="6"/>
  <c r="L26" i="7"/>
  <c r="M28" i="6"/>
  <c r="M26" i="7"/>
  <c r="N28" i="6"/>
  <c r="N26" i="7"/>
  <c r="O28" i="6"/>
  <c r="O26" i="7"/>
  <c r="P28" i="6"/>
  <c r="P26" i="7"/>
  <c r="Q28" i="6"/>
  <c r="Q26" i="7"/>
  <c r="R28" i="6"/>
  <c r="R26" i="7"/>
  <c r="S28" i="6"/>
  <c r="S26" i="7"/>
  <c r="T28" i="6"/>
  <c r="T26" i="7"/>
  <c r="U28" i="6"/>
  <c r="U26" i="7"/>
  <c r="V28" i="6"/>
  <c r="V26" i="7"/>
  <c r="W28" i="6"/>
  <c r="W26" i="7"/>
  <c r="X28" i="6"/>
  <c r="X26" i="7"/>
  <c r="Y28" i="6"/>
  <c r="Y26" i="7"/>
  <c r="Z28" i="6"/>
  <c r="Z26" i="7"/>
  <c r="AA28" i="6"/>
  <c r="AA26" i="7"/>
  <c r="AB28" i="6"/>
  <c r="AB26" i="7"/>
  <c r="AC28" i="6"/>
  <c r="AC26" i="7"/>
  <c r="AD28" i="6"/>
  <c r="AD26" i="7"/>
  <c r="AE28" i="6"/>
  <c r="AE26" i="7"/>
  <c r="AF28" i="6"/>
  <c r="AF26" i="7"/>
  <c r="AG28" i="6"/>
  <c r="AG26" i="7"/>
  <c r="AH28" i="6"/>
  <c r="AH26" i="7"/>
  <c r="AI28" i="6"/>
  <c r="AI26" i="7"/>
  <c r="AJ28" i="6"/>
  <c r="AJ26" i="7"/>
  <c r="AK28" i="6"/>
  <c r="AK26" i="7"/>
  <c r="B28" i="6"/>
  <c r="B26" i="7"/>
  <c r="D27" i="6"/>
  <c r="D25" i="7"/>
  <c r="E27" i="6"/>
  <c r="E25" i="7"/>
  <c r="F27" i="6"/>
  <c r="F25" i="7"/>
  <c r="G27" i="6"/>
  <c r="G25" i="7"/>
  <c r="H27" i="6"/>
  <c r="H25" i="7"/>
  <c r="I27" i="6"/>
  <c r="I25" i="7"/>
  <c r="J27" i="6"/>
  <c r="J25" i="7"/>
  <c r="K27" i="6"/>
  <c r="K25" i="7"/>
  <c r="L27" i="6"/>
  <c r="L25" i="7"/>
  <c r="M27" i="6"/>
  <c r="M25" i="7"/>
  <c r="N27" i="6"/>
  <c r="N25" i="7"/>
  <c r="O27" i="6"/>
  <c r="O25" i="7"/>
  <c r="P27" i="6"/>
  <c r="P25" i="7"/>
  <c r="Q27" i="6"/>
  <c r="Q25" i="7"/>
  <c r="R27" i="6"/>
  <c r="R25" i="7"/>
  <c r="S27" i="6"/>
  <c r="S25" i="7"/>
  <c r="T27" i="6"/>
  <c r="T25" i="7"/>
  <c r="U27" i="6"/>
  <c r="U25" i="7"/>
  <c r="V27" i="6"/>
  <c r="V25" i="7"/>
  <c r="W27" i="6"/>
  <c r="W25" i="7"/>
  <c r="X27" i="6"/>
  <c r="X25" i="7"/>
  <c r="Y27" i="6"/>
  <c r="Y25" i="7"/>
  <c r="Z27" i="6"/>
  <c r="Z25" i="7"/>
  <c r="AA27" i="6"/>
  <c r="AA25" i="7"/>
  <c r="AB27" i="6"/>
  <c r="AB25" i="7"/>
  <c r="AC27" i="6"/>
  <c r="AC25" i="7"/>
  <c r="AD27" i="6"/>
  <c r="AD25" i="7"/>
  <c r="AE27" i="6"/>
  <c r="AE25" i="7"/>
  <c r="AF27" i="6"/>
  <c r="AF25" i="7"/>
  <c r="AG27" i="6"/>
  <c r="AG25" i="7"/>
  <c r="AH27" i="6"/>
  <c r="AH25" i="7"/>
  <c r="AI27" i="6"/>
  <c r="AI25" i="7"/>
  <c r="AJ27" i="6"/>
  <c r="AJ25" i="7"/>
  <c r="AK27" i="6"/>
  <c r="AK25" i="7"/>
  <c r="C27" i="6"/>
  <c r="C25" i="7"/>
  <c r="B27" i="6"/>
  <c r="B25" i="7"/>
  <c r="B5" i="5"/>
  <c r="B4" i="5"/>
  <c r="B3" i="5"/>
  <c r="B2" i="5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B45" i="4"/>
  <c r="D11" i="2"/>
  <c r="B40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B16" i="4"/>
  <c r="E47" i="2"/>
  <c r="E48" i="2"/>
  <c r="C40" i="2"/>
  <c r="E40" i="2"/>
  <c r="E25" i="2"/>
  <c r="E24" i="2"/>
  <c r="E23" i="2"/>
  <c r="D12" i="2"/>
  <c r="D7" i="2"/>
  <c r="D6" i="2"/>
  <c r="D5" i="2"/>
  <c r="B24" i="8"/>
  <c r="B13" i="8"/>
  <c r="F7" i="8"/>
  <c r="B4" i="8"/>
  <c r="D57" i="2"/>
  <c r="D35" i="2"/>
  <c r="D18" i="2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G14" i="7"/>
  <c r="F14" i="7"/>
  <c r="E14" i="7"/>
  <c r="D14" i="7"/>
  <c r="C14" i="7"/>
  <c r="B14" i="7"/>
  <c r="B9" i="7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B18" i="4"/>
  <c r="B6" i="3"/>
  <c r="B7" i="3"/>
  <c r="E18" i="2"/>
  <c r="B12" i="6"/>
  <c r="B6" i="6"/>
  <c r="C6" i="6"/>
  <c r="B49" i="4"/>
  <c r="B48" i="4"/>
  <c r="B47" i="4"/>
  <c r="D20" i="2"/>
  <c r="E20" i="2"/>
  <c r="D19" i="2"/>
  <c r="D6" i="6"/>
  <c r="B35" i="4"/>
  <c r="B46" i="4"/>
  <c r="B33" i="4"/>
  <c r="B9" i="4"/>
  <c r="E19" i="2"/>
  <c r="D22" i="2"/>
  <c r="E22" i="2"/>
  <c r="E6" i="6"/>
  <c r="B34" i="4"/>
  <c r="B36" i="4"/>
  <c r="B10" i="6"/>
  <c r="B15" i="5"/>
  <c r="B50" i="4"/>
  <c r="C9" i="4"/>
  <c r="E52" i="2"/>
  <c r="E32" i="2"/>
  <c r="E28" i="2"/>
  <c r="E56" i="2"/>
  <c r="E21" i="2"/>
  <c r="E59" i="2"/>
  <c r="E33" i="2"/>
  <c r="E30" i="2"/>
  <c r="E27" i="2"/>
  <c r="E29" i="2"/>
  <c r="E54" i="2"/>
  <c r="E49" i="2"/>
  <c r="E34" i="2"/>
  <c r="E31" i="2"/>
  <c r="E26" i="2"/>
  <c r="E55" i="2"/>
  <c r="E53" i="2"/>
  <c r="E50" i="2"/>
  <c r="E51" i="2"/>
  <c r="F6" i="6"/>
  <c r="B16" i="5"/>
  <c r="E9" i="4"/>
  <c r="D9" i="4"/>
  <c r="E35" i="2"/>
  <c r="E37" i="2"/>
  <c r="B11" i="6"/>
  <c r="B20" i="5"/>
  <c r="B21" i="5"/>
  <c r="B37" i="6"/>
  <c r="B11" i="5"/>
  <c r="B12" i="5"/>
  <c r="G6" i="6"/>
  <c r="B17" i="5"/>
  <c r="B14" i="6"/>
  <c r="B24" i="7"/>
  <c r="B38" i="6"/>
  <c r="B33" i="7"/>
  <c r="F9" i="4"/>
  <c r="H6" i="6"/>
  <c r="I6" i="6"/>
  <c r="B26" i="6"/>
  <c r="G9" i="4"/>
  <c r="C33" i="7"/>
  <c r="B32" i="7"/>
  <c r="B15" i="6"/>
  <c r="C24" i="7"/>
  <c r="J6" i="6"/>
  <c r="D24" i="7"/>
  <c r="D33" i="7"/>
  <c r="H9" i="4"/>
  <c r="K6" i="6"/>
  <c r="E33" i="7"/>
  <c r="E24" i="7"/>
  <c r="I9" i="4"/>
  <c r="C32" i="7"/>
  <c r="D32" i="7"/>
  <c r="F24" i="7"/>
  <c r="L6" i="6"/>
  <c r="F33" i="7"/>
  <c r="J9" i="4"/>
  <c r="E32" i="7"/>
  <c r="M6" i="6"/>
  <c r="G24" i="7"/>
  <c r="G33" i="7"/>
  <c r="K9" i="4"/>
  <c r="F32" i="7"/>
  <c r="H33" i="7"/>
  <c r="N6" i="6"/>
  <c r="H24" i="7"/>
  <c r="L9" i="4"/>
  <c r="G32" i="7"/>
  <c r="I24" i="7"/>
  <c r="O6" i="6"/>
  <c r="I33" i="7"/>
  <c r="M9" i="4"/>
  <c r="H32" i="7"/>
  <c r="J33" i="7"/>
  <c r="P6" i="6"/>
  <c r="J24" i="7"/>
  <c r="N9" i="4"/>
  <c r="I32" i="7"/>
  <c r="Q6" i="6"/>
  <c r="K33" i="7"/>
  <c r="K24" i="7"/>
  <c r="O9" i="4"/>
  <c r="J32" i="7"/>
  <c r="M33" i="7"/>
  <c r="R6" i="6"/>
  <c r="L33" i="7"/>
  <c r="L24" i="7"/>
  <c r="M24" i="7"/>
  <c r="P9" i="4"/>
  <c r="K32" i="7"/>
  <c r="Q9" i="4"/>
  <c r="L32" i="7"/>
  <c r="M32" i="7"/>
  <c r="S6" i="6"/>
  <c r="N33" i="7"/>
  <c r="T6" i="6"/>
  <c r="O24" i="7"/>
  <c r="N24" i="7"/>
  <c r="O33" i="7"/>
  <c r="R9" i="4"/>
  <c r="S9" i="4"/>
  <c r="O32" i="7"/>
  <c r="N32" i="7"/>
  <c r="U6" i="6"/>
  <c r="P24" i="7"/>
  <c r="P33" i="7"/>
  <c r="T9" i="4"/>
  <c r="V6" i="6"/>
  <c r="Q24" i="7"/>
  <c r="W6" i="6"/>
  <c r="Q33" i="7"/>
  <c r="R33" i="7"/>
  <c r="R24" i="7"/>
  <c r="U9" i="4"/>
  <c r="P32" i="7"/>
  <c r="X6" i="6"/>
  <c r="V9" i="4"/>
  <c r="Q32" i="7"/>
  <c r="R32" i="7"/>
  <c r="Y6" i="6"/>
  <c r="S24" i="7"/>
  <c r="S33" i="7"/>
  <c r="W9" i="4"/>
  <c r="T33" i="7"/>
  <c r="T24" i="7"/>
  <c r="Z6" i="6"/>
  <c r="X9" i="4"/>
  <c r="S32" i="7"/>
  <c r="V33" i="7"/>
  <c r="U24" i="7"/>
  <c r="U33" i="7"/>
  <c r="AA6" i="6"/>
  <c r="Y9" i="4"/>
  <c r="T32" i="7"/>
  <c r="AB6" i="6"/>
  <c r="V24" i="7"/>
  <c r="Z9" i="4"/>
  <c r="U32" i="7"/>
  <c r="V32" i="7"/>
  <c r="W33" i="7"/>
  <c r="X24" i="7"/>
  <c r="AC6" i="6"/>
  <c r="X33" i="7"/>
  <c r="W24" i="7"/>
  <c r="AA9" i="4"/>
  <c r="AD6" i="6"/>
  <c r="AB9" i="4"/>
  <c r="X32" i="7"/>
  <c r="W32" i="7"/>
  <c r="Y33" i="7"/>
  <c r="AE6" i="6"/>
  <c r="Y24" i="7"/>
  <c r="AC9" i="4"/>
  <c r="AA33" i="7"/>
  <c r="Z24" i="7"/>
  <c r="AF6" i="6"/>
  <c r="AA24" i="7"/>
  <c r="Z33" i="7"/>
  <c r="AD9" i="4"/>
  <c r="Y32" i="7"/>
  <c r="AG6" i="6"/>
  <c r="AE9" i="4"/>
  <c r="AA32" i="7"/>
  <c r="Z32" i="7"/>
  <c r="AH6" i="6"/>
  <c r="AC33" i="7"/>
  <c r="AB33" i="7"/>
  <c r="AC24" i="7"/>
  <c r="AB24" i="7"/>
  <c r="AF9" i="4"/>
  <c r="AI6" i="6"/>
  <c r="AD33" i="7"/>
  <c r="AD24" i="7"/>
  <c r="AG9" i="4"/>
  <c r="AC32" i="7"/>
  <c r="AB32" i="7"/>
  <c r="AJ6" i="6"/>
  <c r="AH9" i="4"/>
  <c r="AD32" i="7"/>
  <c r="AE24" i="7"/>
  <c r="AE33" i="7"/>
  <c r="AK6" i="6"/>
  <c r="AI9" i="4"/>
  <c r="AF24" i="7"/>
  <c r="AG24" i="7"/>
  <c r="AF33" i="7"/>
  <c r="AG33" i="7"/>
  <c r="AJ9" i="4"/>
  <c r="AE32" i="7"/>
  <c r="AK9" i="4"/>
  <c r="AF32" i="7"/>
  <c r="AG32" i="7"/>
  <c r="AH33" i="7"/>
  <c r="AH24" i="7"/>
  <c r="H13" i="7"/>
  <c r="C9" i="7"/>
  <c r="AI24" i="7"/>
  <c r="AI33" i="7"/>
  <c r="I13" i="7"/>
  <c r="AK13" i="7"/>
  <c r="E13" i="7"/>
  <c r="M13" i="7"/>
  <c r="Q13" i="7"/>
  <c r="U13" i="7"/>
  <c r="Y13" i="7"/>
  <c r="AC13" i="7"/>
  <c r="AG13" i="7"/>
  <c r="F13" i="7"/>
  <c r="J13" i="7"/>
  <c r="N13" i="7"/>
  <c r="R13" i="7"/>
  <c r="V13" i="7"/>
  <c r="Z13" i="7"/>
  <c r="AD13" i="7"/>
  <c r="AH13" i="7"/>
  <c r="C13" i="7"/>
  <c r="C7" i="7"/>
  <c r="D13" i="7"/>
  <c r="L13" i="7"/>
  <c r="P13" i="7"/>
  <c r="T13" i="7"/>
  <c r="X13" i="7"/>
  <c r="AB13" i="7"/>
  <c r="AF13" i="7"/>
  <c r="AJ13" i="7"/>
  <c r="O13" i="7"/>
  <c r="AE13" i="7"/>
  <c r="S13" i="7"/>
  <c r="AI13" i="7"/>
  <c r="AA13" i="7"/>
  <c r="G13" i="7"/>
  <c r="W13" i="7"/>
  <c r="B13" i="7"/>
  <c r="B7" i="7"/>
  <c r="K13" i="7"/>
  <c r="B41" i="4"/>
  <c r="B42" i="4"/>
  <c r="B52" i="4"/>
  <c r="B18" i="6"/>
  <c r="F56" i="4"/>
  <c r="AK56" i="4"/>
  <c r="T56" i="4"/>
  <c r="O56" i="4"/>
  <c r="M56" i="4"/>
  <c r="AH56" i="4"/>
  <c r="AG56" i="4"/>
  <c r="U56" i="4"/>
  <c r="P56" i="4"/>
  <c r="K56" i="4"/>
  <c r="AD56" i="4"/>
  <c r="I56" i="4"/>
  <c r="AJ56" i="4"/>
  <c r="D56" i="4"/>
  <c r="B11" i="3"/>
  <c r="R56" i="4"/>
  <c r="Y56" i="4"/>
  <c r="AF56" i="4"/>
  <c r="AI56" i="4"/>
  <c r="AE56" i="4"/>
  <c r="N56" i="4"/>
  <c r="AB56" i="4"/>
  <c r="L56" i="4"/>
  <c r="AA56" i="4"/>
  <c r="G56" i="4"/>
  <c r="W56" i="4"/>
  <c r="Z56" i="4"/>
  <c r="J56" i="4"/>
  <c r="Q56" i="4"/>
  <c r="E56" i="4"/>
  <c r="X56" i="4"/>
  <c r="H56" i="4"/>
  <c r="S56" i="4"/>
  <c r="C56" i="4"/>
  <c r="V56" i="4"/>
  <c r="AH9" i="7"/>
  <c r="AH7" i="7"/>
  <c r="AF9" i="7"/>
  <c r="AF7" i="7"/>
  <c r="P9" i="7"/>
  <c r="P7" i="7"/>
  <c r="N9" i="7"/>
  <c r="F9" i="7"/>
  <c r="F7" i="7"/>
  <c r="X9" i="7"/>
  <c r="AC9" i="7"/>
  <c r="AC7" i="7"/>
  <c r="Z9" i="7"/>
  <c r="Z7" i="7"/>
  <c r="O9" i="7"/>
  <c r="AI9" i="7"/>
  <c r="AI7" i="7"/>
  <c r="AH32" i="7"/>
  <c r="Y9" i="7"/>
  <c r="Y7" i="7"/>
  <c r="K9" i="7"/>
  <c r="J9" i="7"/>
  <c r="J7" i="7"/>
  <c r="H9" i="7"/>
  <c r="AD9" i="7"/>
  <c r="AB9" i="7"/>
  <c r="AB7" i="7"/>
  <c r="Q9" i="7"/>
  <c r="L9" i="7"/>
  <c r="L7" i="7"/>
  <c r="AK9" i="7"/>
  <c r="AJ9" i="7"/>
  <c r="AJ7" i="7"/>
  <c r="AG9" i="7"/>
  <c r="AE9" i="7"/>
  <c r="AE7" i="7"/>
  <c r="AA9" i="7"/>
  <c r="U9" i="7"/>
  <c r="U7" i="7"/>
  <c r="S9" i="7"/>
  <c r="S7" i="7"/>
  <c r="R9" i="7"/>
  <c r="R7" i="7"/>
  <c r="W9" i="7"/>
  <c r="W7" i="7"/>
  <c r="V9" i="7"/>
  <c r="V7" i="7"/>
  <c r="T9" i="7"/>
  <c r="M9" i="7"/>
  <c r="M7" i="7"/>
  <c r="I9" i="7"/>
  <c r="I7" i="7"/>
  <c r="G9" i="7"/>
  <c r="G7" i="7"/>
  <c r="E9" i="7"/>
  <c r="E7" i="7"/>
  <c r="D9" i="7"/>
  <c r="D7" i="7"/>
  <c r="AK7" i="7"/>
  <c r="T7" i="7"/>
  <c r="AJ33" i="7"/>
  <c r="AJ24" i="7"/>
  <c r="O7" i="7"/>
  <c r="B22" i="7"/>
  <c r="C23" i="7"/>
  <c r="B31" i="6"/>
  <c r="B31" i="7"/>
  <c r="AF22" i="7"/>
  <c r="AG23" i="7"/>
  <c r="AF31" i="7"/>
  <c r="E31" i="7"/>
  <c r="E22" i="7"/>
  <c r="F23" i="7"/>
  <c r="G22" i="7"/>
  <c r="H23" i="7"/>
  <c r="G31" i="7"/>
  <c r="AG7" i="7"/>
  <c r="Q7" i="7"/>
  <c r="H7" i="7"/>
  <c r="D22" i="7"/>
  <c r="E23" i="7"/>
  <c r="D31" i="7"/>
  <c r="V31" i="7"/>
  <c r="V22" i="7"/>
  <c r="W23" i="7"/>
  <c r="AD31" i="7"/>
  <c r="AD22" i="7"/>
  <c r="AE23" i="7"/>
  <c r="Q22" i="7"/>
  <c r="R23" i="7"/>
  <c r="Q31" i="7"/>
  <c r="AB22" i="7"/>
  <c r="AC23" i="7"/>
  <c r="AB31" i="7"/>
  <c r="L22" i="7"/>
  <c r="M23" i="7"/>
  <c r="L31" i="7"/>
  <c r="AC22" i="7"/>
  <c r="AD23" i="7"/>
  <c r="AC31" i="7"/>
  <c r="AI31" i="7"/>
  <c r="AI22" i="7"/>
  <c r="AJ23" i="7"/>
  <c r="S31" i="7"/>
  <c r="S22" i="7"/>
  <c r="T23" i="7"/>
  <c r="C22" i="7"/>
  <c r="D23" i="7"/>
  <c r="C31" i="7"/>
  <c r="R31" i="7"/>
  <c r="R22" i="7"/>
  <c r="S23" i="7"/>
  <c r="P22" i="7"/>
  <c r="Q23" i="7"/>
  <c r="P31" i="7"/>
  <c r="W31" i="7"/>
  <c r="W22" i="7"/>
  <c r="X23" i="7"/>
  <c r="N7" i="7"/>
  <c r="Z31" i="7"/>
  <c r="Z22" i="7"/>
  <c r="AA23" i="7"/>
  <c r="F22" i="7"/>
  <c r="G23" i="7"/>
  <c r="F31" i="7"/>
  <c r="N31" i="7"/>
  <c r="N22" i="7"/>
  <c r="O23" i="7"/>
  <c r="I31" i="7"/>
  <c r="I22" i="7"/>
  <c r="J23" i="7"/>
  <c r="X22" i="7"/>
  <c r="Y23" i="7"/>
  <c r="X31" i="7"/>
  <c r="H22" i="7"/>
  <c r="H31" i="7"/>
  <c r="U22" i="7"/>
  <c r="V23" i="7"/>
  <c r="U31" i="7"/>
  <c r="AE31" i="7"/>
  <c r="AE22" i="7"/>
  <c r="AF23" i="7"/>
  <c r="O31" i="7"/>
  <c r="O22" i="7"/>
  <c r="P23" i="7"/>
  <c r="Y22" i="7"/>
  <c r="Z23" i="7"/>
  <c r="Y31" i="7"/>
  <c r="AK22" i="7"/>
  <c r="AK31" i="7"/>
  <c r="AA7" i="7"/>
  <c r="AD7" i="7"/>
  <c r="K7" i="7"/>
  <c r="X7" i="7"/>
  <c r="J22" i="7"/>
  <c r="K23" i="7"/>
  <c r="J31" i="7"/>
  <c r="AH31" i="7"/>
  <c r="AH22" i="7"/>
  <c r="AI23" i="7"/>
  <c r="AG22" i="7"/>
  <c r="AH23" i="7"/>
  <c r="AG31" i="7"/>
  <c r="AJ22" i="7"/>
  <c r="AK23" i="7"/>
  <c r="AJ31" i="7"/>
  <c r="T22" i="7"/>
  <c r="U23" i="7"/>
  <c r="T31" i="7"/>
  <c r="M31" i="7"/>
  <c r="M22" i="7"/>
  <c r="N23" i="7"/>
  <c r="AA31" i="7"/>
  <c r="AA22" i="7"/>
  <c r="AB23" i="7"/>
  <c r="K22" i="7"/>
  <c r="L23" i="7"/>
  <c r="K31" i="7"/>
  <c r="B13" i="3"/>
  <c r="B7" i="6"/>
  <c r="B56" i="4"/>
  <c r="AC56" i="4"/>
  <c r="B19" i="6"/>
  <c r="B29" i="6"/>
  <c r="AI32" i="7"/>
  <c r="AK27" i="7"/>
  <c r="AF30" i="7"/>
  <c r="R30" i="7"/>
  <c r="I23" i="7"/>
  <c r="T30" i="7"/>
  <c r="G30" i="7"/>
  <c r="J30" i="7"/>
  <c r="AK24" i="7"/>
  <c r="AK33" i="7"/>
  <c r="P32" i="6"/>
  <c r="Q27" i="7"/>
  <c r="AI32" i="6"/>
  <c r="AJ27" i="7"/>
  <c r="D32" i="6"/>
  <c r="E27" i="7"/>
  <c r="AB32" i="6"/>
  <c r="AC27" i="7"/>
  <c r="L32" i="6"/>
  <c r="M27" i="7"/>
  <c r="R32" i="6"/>
  <c r="S27" i="7"/>
  <c r="Q32" i="6"/>
  <c r="R27" i="7"/>
  <c r="O32" i="6"/>
  <c r="P27" i="7"/>
  <c r="S32" i="6"/>
  <c r="T27" i="7"/>
  <c r="F32" i="6"/>
  <c r="G27" i="7"/>
  <c r="J32" i="6"/>
  <c r="K27" i="7"/>
  <c r="C32" i="6"/>
  <c r="D27" i="7"/>
  <c r="B32" i="6"/>
  <c r="C27" i="7"/>
  <c r="K32" i="6"/>
  <c r="L27" i="7"/>
  <c r="I32" i="6"/>
  <c r="J27" i="7"/>
  <c r="AD32" i="6"/>
  <c r="AE27" i="7"/>
  <c r="X32" i="6"/>
  <c r="Y27" i="7"/>
  <c r="AE32" i="6"/>
  <c r="AF27" i="7"/>
  <c r="Y32" i="6"/>
  <c r="Z27" i="7"/>
  <c r="H32" i="6"/>
  <c r="I27" i="7"/>
  <c r="AC32" i="6"/>
  <c r="AD27" i="7"/>
  <c r="M32" i="6"/>
  <c r="N27" i="7"/>
  <c r="G32" i="6"/>
  <c r="H27" i="7"/>
  <c r="AA32" i="6"/>
  <c r="AB27" i="7"/>
  <c r="T32" i="6"/>
  <c r="U27" i="7"/>
  <c r="AF32" i="6"/>
  <c r="AG27" i="7"/>
  <c r="Z32" i="6"/>
  <c r="AA27" i="7"/>
  <c r="W32" i="6"/>
  <c r="X27" i="7"/>
  <c r="E32" i="6"/>
  <c r="F27" i="7"/>
  <c r="V32" i="6"/>
  <c r="W27" i="7"/>
  <c r="AH32" i="6"/>
  <c r="AI27" i="7"/>
  <c r="U32" i="6"/>
  <c r="V27" i="7"/>
  <c r="N42" i="6"/>
  <c r="O27" i="7"/>
  <c r="AG32" i="6"/>
  <c r="AH27" i="7"/>
  <c r="Z42" i="6"/>
  <c r="S41" i="6"/>
  <c r="Q41" i="6"/>
  <c r="AE41" i="6"/>
  <c r="B20" i="7"/>
  <c r="B37" i="7"/>
  <c r="B39" i="7"/>
  <c r="C5" i="7"/>
  <c r="AJ32" i="7"/>
  <c r="B33" i="6"/>
  <c r="B34" i="6"/>
  <c r="AJ32" i="6"/>
  <c r="C41" i="6"/>
  <c r="B40" i="6"/>
  <c r="B41" i="6"/>
  <c r="H30" i="7"/>
  <c r="H20" i="7"/>
  <c r="AK30" i="7"/>
  <c r="Q30" i="7"/>
  <c r="AA30" i="7"/>
  <c r="B42" i="6"/>
  <c r="C42" i="6"/>
  <c r="D42" i="6"/>
  <c r="E42" i="6"/>
  <c r="F42" i="6"/>
  <c r="G42" i="6"/>
  <c r="H42" i="6"/>
  <c r="F41" i="6"/>
  <c r="I41" i="6"/>
  <c r="N32" i="6"/>
  <c r="AA42" i="6"/>
  <c r="AB42" i="6"/>
  <c r="AC42" i="6"/>
  <c r="AD42" i="6"/>
  <c r="AE42" i="6"/>
  <c r="AF42" i="6"/>
  <c r="D41" i="6"/>
  <c r="E30" i="7"/>
  <c r="AI41" i="6"/>
  <c r="AJ30" i="7"/>
  <c r="AJ20" i="7"/>
  <c r="AJ37" i="7"/>
  <c r="E41" i="6"/>
  <c r="F30" i="7"/>
  <c r="F20" i="7"/>
  <c r="F37" i="7"/>
  <c r="R41" i="6"/>
  <c r="S30" i="7"/>
  <c r="K41" i="6"/>
  <c r="L30" i="7"/>
  <c r="L20" i="7"/>
  <c r="L37" i="7"/>
  <c r="U41" i="6"/>
  <c r="V30" i="7"/>
  <c r="C30" i="7"/>
  <c r="C20" i="7"/>
  <c r="C37" i="7"/>
  <c r="C39" i="7"/>
  <c r="D5" i="7"/>
  <c r="AD41" i="6"/>
  <c r="AE30" i="7"/>
  <c r="M41" i="6"/>
  <c r="N30" i="7"/>
  <c r="D30" i="7"/>
  <c r="AH41" i="6"/>
  <c r="AI30" i="7"/>
  <c r="AI20" i="7"/>
  <c r="AI37" i="7"/>
  <c r="L41" i="6"/>
  <c r="M30" i="7"/>
  <c r="AF41" i="6"/>
  <c r="AG30" i="7"/>
  <c r="AG20" i="7"/>
  <c r="AG37" i="7"/>
  <c r="V41" i="6"/>
  <c r="W30" i="7"/>
  <c r="W20" i="7"/>
  <c r="W37" i="7"/>
  <c r="AB41" i="6"/>
  <c r="AC30" i="7"/>
  <c r="AC20" i="7"/>
  <c r="AC37" i="7"/>
  <c r="Y41" i="6"/>
  <c r="Z30" i="7"/>
  <c r="Z20" i="7"/>
  <c r="Z37" i="7"/>
  <c r="AG41" i="6"/>
  <c r="AH30" i="7"/>
  <c r="Z41" i="6"/>
  <c r="Z43" i="6"/>
  <c r="N41" i="6"/>
  <c r="N43" i="6"/>
  <c r="O30" i="7"/>
  <c r="W41" i="6"/>
  <c r="X30" i="7"/>
  <c r="X20" i="7"/>
  <c r="X37" i="7"/>
  <c r="J41" i="6"/>
  <c r="K30" i="7"/>
  <c r="X41" i="6"/>
  <c r="Y30" i="7"/>
  <c r="G41" i="6"/>
  <c r="T41" i="6"/>
  <c r="U30" i="7"/>
  <c r="U20" i="7"/>
  <c r="U37" i="7"/>
  <c r="O41" i="6"/>
  <c r="P30" i="7"/>
  <c r="H41" i="6"/>
  <c r="I30" i="7"/>
  <c r="I20" i="7"/>
  <c r="I37" i="7"/>
  <c r="AC41" i="6"/>
  <c r="AD30" i="7"/>
  <c r="AA41" i="6"/>
  <c r="AB30" i="7"/>
  <c r="P41" i="6"/>
  <c r="O42" i="6"/>
  <c r="P42" i="6"/>
  <c r="Q42" i="6"/>
  <c r="R20" i="7"/>
  <c r="R37" i="7"/>
  <c r="N20" i="7"/>
  <c r="N37" i="7"/>
  <c r="H37" i="7"/>
  <c r="E20" i="7"/>
  <c r="E37" i="7"/>
  <c r="AF20" i="7"/>
  <c r="AF37" i="7"/>
  <c r="AD20" i="7"/>
  <c r="AD37" i="7"/>
  <c r="AK32" i="7"/>
  <c r="O20" i="7"/>
  <c r="O37" i="7"/>
  <c r="T20" i="7"/>
  <c r="T37" i="7"/>
  <c r="K20" i="7"/>
  <c r="K37" i="7"/>
  <c r="Q20" i="7"/>
  <c r="Q37" i="7"/>
  <c r="AJ41" i="6"/>
  <c r="AA20" i="7"/>
  <c r="AA37" i="7"/>
  <c r="AB29" i="7"/>
  <c r="AC43" i="6"/>
  <c r="AC18" i="7"/>
  <c r="AA43" i="6"/>
  <c r="AA18" i="7"/>
  <c r="AB43" i="6"/>
  <c r="AB47" i="6"/>
  <c r="C43" i="6"/>
  <c r="C47" i="6"/>
  <c r="B43" i="6"/>
  <c r="D29" i="7"/>
  <c r="D20" i="7"/>
  <c r="D37" i="7"/>
  <c r="D39" i="7"/>
  <c r="E5" i="7"/>
  <c r="E39" i="7"/>
  <c r="F5" i="7"/>
  <c r="F39" i="7"/>
  <c r="G5" i="7"/>
  <c r="D43" i="6"/>
  <c r="D18" i="7"/>
  <c r="AK32" i="6"/>
  <c r="AE29" i="7"/>
  <c r="P29" i="7"/>
  <c r="AG42" i="6"/>
  <c r="AH42" i="6"/>
  <c r="AI42" i="6"/>
  <c r="AI43" i="6"/>
  <c r="AI18" i="7"/>
  <c r="N47" i="6"/>
  <c r="N18" i="7"/>
  <c r="Z47" i="6"/>
  <c r="Z18" i="7"/>
  <c r="R42" i="6"/>
  <c r="S42" i="6"/>
  <c r="T42" i="6"/>
  <c r="B45" i="6"/>
  <c r="B18" i="7"/>
  <c r="G29" i="7"/>
  <c r="I42" i="6"/>
  <c r="J42" i="6"/>
  <c r="K42" i="6"/>
  <c r="B47" i="6"/>
  <c r="AE43" i="6"/>
  <c r="E43" i="6"/>
  <c r="G43" i="6"/>
  <c r="F43" i="6"/>
  <c r="H43" i="6"/>
  <c r="O43" i="6"/>
  <c r="P43" i="6"/>
  <c r="AD43" i="6"/>
  <c r="AF43" i="6"/>
  <c r="AK41" i="6"/>
  <c r="AB20" i="7"/>
  <c r="AB37" i="7"/>
  <c r="D47" i="6"/>
  <c r="C18" i="7"/>
  <c r="AC47" i="6"/>
  <c r="AA47" i="6"/>
  <c r="AB18" i="7"/>
  <c r="C45" i="6"/>
  <c r="D45" i="6"/>
  <c r="E45" i="6"/>
  <c r="F45" i="6"/>
  <c r="G45" i="6"/>
  <c r="H45" i="6"/>
  <c r="AG43" i="6"/>
  <c r="AG47" i="6"/>
  <c r="AH29" i="7"/>
  <c r="AI47" i="6"/>
  <c r="AJ42" i="6"/>
  <c r="AF47" i="6"/>
  <c r="AF18" i="7"/>
  <c r="S29" i="7"/>
  <c r="AH43" i="6"/>
  <c r="O47" i="6"/>
  <c r="O18" i="7"/>
  <c r="AD47" i="6"/>
  <c r="AD18" i="7"/>
  <c r="P47" i="6"/>
  <c r="P18" i="7"/>
  <c r="AE47" i="6"/>
  <c r="AE18" i="7"/>
  <c r="U42" i="6"/>
  <c r="V42" i="6"/>
  <c r="W42" i="6"/>
  <c r="J43" i="6"/>
  <c r="G47" i="6"/>
  <c r="G18" i="7"/>
  <c r="I43" i="6"/>
  <c r="L42" i="6"/>
  <c r="H47" i="6"/>
  <c r="H18" i="7"/>
  <c r="K43" i="6"/>
  <c r="F47" i="6"/>
  <c r="F18" i="7"/>
  <c r="E47" i="6"/>
  <c r="E18" i="7"/>
  <c r="J29" i="7"/>
  <c r="Q43" i="6"/>
  <c r="P20" i="7"/>
  <c r="P37" i="7"/>
  <c r="AG18" i="7"/>
  <c r="V29" i="7"/>
  <c r="Q47" i="6"/>
  <c r="Q18" i="7"/>
  <c r="AK42" i="6"/>
  <c r="AJ43" i="6"/>
  <c r="I45" i="6"/>
  <c r="J45" i="6"/>
  <c r="K45" i="6"/>
  <c r="AH47" i="6"/>
  <c r="AH18" i="7"/>
  <c r="X42" i="6"/>
  <c r="Y42" i="6"/>
  <c r="I47" i="6"/>
  <c r="I18" i="7"/>
  <c r="K47" i="6"/>
  <c r="K18" i="7"/>
  <c r="M42" i="6"/>
  <c r="M43" i="6"/>
  <c r="L43" i="6"/>
  <c r="J47" i="6"/>
  <c r="J18" i="7"/>
  <c r="G20" i="7"/>
  <c r="G37" i="7"/>
  <c r="G39" i="7"/>
  <c r="H5" i="7"/>
  <c r="H39" i="7"/>
  <c r="I5" i="7"/>
  <c r="I39" i="7"/>
  <c r="J5" i="7"/>
  <c r="R43" i="6"/>
  <c r="AE20" i="7"/>
  <c r="AE37" i="7"/>
  <c r="L45" i="6"/>
  <c r="M45" i="6"/>
  <c r="N45" i="6"/>
  <c r="O45" i="6"/>
  <c r="P45" i="6"/>
  <c r="Q45" i="6"/>
  <c r="R45" i="6"/>
  <c r="Y29" i="7"/>
  <c r="AK43" i="6"/>
  <c r="AK29" i="7"/>
  <c r="R47" i="6"/>
  <c r="R18" i="7"/>
  <c r="AJ47" i="6"/>
  <c r="AJ18" i="7"/>
  <c r="M47" i="6"/>
  <c r="M18" i="7"/>
  <c r="L47" i="6"/>
  <c r="L18" i="7"/>
  <c r="M29" i="7"/>
  <c r="S43" i="6"/>
  <c r="S20" i="7"/>
  <c r="S37" i="7"/>
  <c r="S47" i="6"/>
  <c r="S18" i="7"/>
  <c r="AK47" i="6"/>
  <c r="AK18" i="7"/>
  <c r="T43" i="6"/>
  <c r="S45" i="6"/>
  <c r="T47" i="6"/>
  <c r="T18" i="7"/>
  <c r="T45" i="6"/>
  <c r="U43" i="6"/>
  <c r="AH20" i="7"/>
  <c r="AH37" i="7"/>
  <c r="U47" i="6"/>
  <c r="U18" i="7"/>
  <c r="J20" i="7"/>
  <c r="J37" i="7"/>
  <c r="J39" i="7"/>
  <c r="K5" i="7"/>
  <c r="K39" i="7"/>
  <c r="L5" i="7"/>
  <c r="L39" i="7"/>
  <c r="M5" i="7"/>
  <c r="V43" i="6"/>
  <c r="U45" i="6"/>
  <c r="V47" i="6"/>
  <c r="V18" i="7"/>
  <c r="V45" i="6"/>
  <c r="W43" i="6"/>
  <c r="V20" i="7"/>
  <c r="V37" i="7"/>
  <c r="W47" i="6"/>
  <c r="W18" i="7"/>
  <c r="Y43" i="6"/>
  <c r="X43" i="6"/>
  <c r="W45" i="6"/>
  <c r="X47" i="6"/>
  <c r="X18" i="7"/>
  <c r="Y47" i="6"/>
  <c r="Y18" i="7"/>
  <c r="M20" i="7"/>
  <c r="M37" i="7"/>
  <c r="M39" i="7"/>
  <c r="N5" i="7"/>
  <c r="N39" i="7"/>
  <c r="O5" i="7"/>
  <c r="O39" i="7"/>
  <c r="P5" i="7"/>
  <c r="P39" i="7"/>
  <c r="Q5" i="7"/>
  <c r="Q39" i="7"/>
  <c r="R5" i="7"/>
  <c r="R39" i="7"/>
  <c r="S5" i="7"/>
  <c r="S39" i="7"/>
  <c r="T5" i="7"/>
  <c r="T39" i="7"/>
  <c r="U5" i="7"/>
  <c r="U39" i="7"/>
  <c r="V5" i="7"/>
  <c r="V39" i="7"/>
  <c r="W5" i="7"/>
  <c r="W39" i="7"/>
  <c r="X5" i="7"/>
  <c r="X39" i="7"/>
  <c r="Y5" i="7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K20" i="7"/>
  <c r="AK37" i="7"/>
  <c r="Y20" i="7"/>
  <c r="Y37" i="7"/>
  <c r="Y39" i="7"/>
  <c r="Z5" i="7"/>
  <c r="Z39" i="7"/>
  <c r="AA5" i="7"/>
  <c r="AA39" i="7"/>
  <c r="AB5" i="7"/>
  <c r="AB39" i="7"/>
  <c r="AC5" i="7"/>
  <c r="AC39" i="7"/>
  <c r="AD5" i="7"/>
  <c r="AD39" i="7"/>
  <c r="AE5" i="7"/>
  <c r="AE39" i="7"/>
  <c r="AF5" i="7"/>
  <c r="AF39" i="7"/>
  <c r="AG5" i="7"/>
  <c r="AG39" i="7"/>
  <c r="AH5" i="7"/>
  <c r="AH39" i="7"/>
  <c r="AI5" i="7"/>
  <c r="AI39" i="7"/>
  <c r="AJ5" i="7"/>
  <c r="AJ39" i="7"/>
  <c r="AK5" i="7"/>
  <c r="AK39" i="7"/>
</calcChain>
</file>

<file path=xl/comments1.xml><?xml version="1.0" encoding="utf-8"?>
<comments xmlns="http://schemas.openxmlformats.org/spreadsheetml/2006/main">
  <authors>
    <author>Автор</author>
  </authors>
  <commentList>
    <comment ref="A20" authorId="0">
      <text>
        <r>
          <rPr>
            <sz val="9"/>
            <color indexed="81"/>
            <rFont val="Tahoma"/>
            <family val="2"/>
            <charset val="204"/>
          </rPr>
          <t>каждому новому сотруднику нужен стол, стул, компьютер с лицензионными программами</t>
        </r>
      </text>
    </comment>
  </commentList>
</comments>
</file>

<file path=xl/sharedStrings.xml><?xml version="1.0" encoding="utf-8"?>
<sst xmlns="http://schemas.openxmlformats.org/spreadsheetml/2006/main" count="632" uniqueCount="356">
  <si>
    <t>ИНСТРУКЦИЯ ПО СОСТАВЛЕНИЮ БИЗНЕС-ПЛАНА</t>
  </si>
  <si>
    <t xml:space="preserve">1.  Все таблицы бизнес-плана  взаимосвязаны. </t>
  </si>
  <si>
    <t xml:space="preserve">2. Финансовая модель может быть заполнена данными примера в части: </t>
  </si>
  <si>
    <t>2.2. Данных по заработным платам, ставки арендной платы, "шага" и  т.д. - все желтые поля на листе "Исходные данные"</t>
  </si>
  <si>
    <t>2.1. Кол-ва ежемесячно заключаемых контрактов на обслуживание (лист Планирование выручки)</t>
  </si>
  <si>
    <t>2.3. Другими данными</t>
  </si>
  <si>
    <t>3. Для составления  воего бизнес-плана необходимо удалить данные примера, если какие-либо желтые ячейки заполнены, и заполнить все ячейки, обозначенные желтым.</t>
  </si>
  <si>
    <t>4. Таблица Планирование Персонала не защищена - заполняются вручную</t>
  </si>
  <si>
    <t xml:space="preserve">5. Расчет среднего чека </t>
  </si>
  <si>
    <t>Партнер может внести изменения в размер кол-ва документов, ежемесячно обрабатываемых для клиента. С учетом того, что сервис 1С:БО ориентирован на микро, малый и мелко средний бизнес</t>
  </si>
  <si>
    <r>
      <t>6. Расшифровка накладных расходов:</t>
    </r>
    <r>
      <rPr>
        <sz val="11"/>
        <color theme="1"/>
        <rFont val="Calibri"/>
        <family val="2"/>
        <scheme val="minor"/>
      </rPr>
      <t xml:space="preserve">
6.1. Повышение квалификации персонала 
6.2. Содержание имущества (обслуживание ПК и орг. техники, ремонт мебели и т.п.)
6.3. Канц. товары
6.4. Представительские расходы
6.5. Транспортные расходы 
6.6. Информационные и справочные БД
6.7. Услуги банка
</t>
    </r>
  </si>
  <si>
    <t xml:space="preserve">7. Расшифровка Прочие инвестиционные расходы  – в первый месяц опер. деятельности – возможные варианты: </t>
  </si>
  <si>
    <t>7.1.  ремонт и оборудование офиса</t>
  </si>
  <si>
    <t>7.2.  подключение интернета, телефонии</t>
  </si>
  <si>
    <t>7.3.  подключение к спец. оператору связи (софт + ЭЦП)</t>
  </si>
  <si>
    <t>7.4.  оплата аренды авансом (за 1-ый и последний месяцы)</t>
  </si>
  <si>
    <t>7.5.  оплата за рег. долгосрочного дог. Аренды, оплата риэлтору</t>
  </si>
  <si>
    <t>7.6.  расходы на рекламу, вывески, другие представительские расходы</t>
  </si>
  <si>
    <t>7.7.  оборудование офиса (стеллажи/шкафы для документов, вешалки, стойка ресепшн и т.п.)</t>
  </si>
  <si>
    <t>7.8.  орг. техника (ксерокс, принтер, факс, телефонная станция и т.п.)</t>
  </si>
  <si>
    <t>7.9.  расходы на организацию юрлица</t>
  </si>
  <si>
    <t xml:space="preserve">8. Желтые ячейки на странице "БДС" нужно заполнять только там, где считаете необходимым. Они служат для того, чтобы Вы помесячно спланировали вложения инвестиций. Цель простая - перекрыть кассовый разрыв (строка 5). То есть чтобы у Вас в кассе не было "отрицательных остатков", нужно их перекрывать финансированием. Вы должны осознавать, сколько денег придется вложить. </t>
  </si>
  <si>
    <t>Расчет "среднего" тарифа  для целевого клиента на полную рабочую группу</t>
  </si>
  <si>
    <t>Расчет численности полной Рабочей группы</t>
  </si>
  <si>
    <t xml:space="preserve">Норма клиентов, на среднем чеке на полную рабочую </t>
  </si>
  <si>
    <t>клиентов</t>
  </si>
  <si>
    <t>Документов клиентов,  ежемесячно получаемых для обработки</t>
  </si>
  <si>
    <t>док./мес.</t>
  </si>
  <si>
    <t>Кол-во полных Рабочих групп</t>
  </si>
  <si>
    <t>Кол-во документов на неполную Рабочую группу</t>
  </si>
  <si>
    <t>Численность персонала полной РГ</t>
  </si>
  <si>
    <t>Роль "Главный бухгалтер" и "Руководитель РГ", чел.</t>
  </si>
  <si>
    <t>чел.</t>
  </si>
  <si>
    <t>Роль "Бухгалтер" + "Бухгалтер по расчету з/пл и кадрам"</t>
  </si>
  <si>
    <t>Роль "Оператор по вводу данных"</t>
  </si>
  <si>
    <t>Расходы на полную рабочую группу в месяц</t>
  </si>
  <si>
    <t>1. Прямые расходы на полную рабочую группу</t>
  </si>
  <si>
    <t>Статья расходов</t>
  </si>
  <si>
    <t>ед. изм.</t>
  </si>
  <si>
    <t>кол-во</t>
  </si>
  <si>
    <t>Сумма, руб.</t>
  </si>
  <si>
    <t>1.1.</t>
  </si>
  <si>
    <t>ФОТ главного бухгалтера</t>
  </si>
  <si>
    <t>чел</t>
  </si>
  <si>
    <t>1.2.</t>
  </si>
  <si>
    <t>ФОТ бухгалтера</t>
  </si>
  <si>
    <t>1.3.</t>
  </si>
  <si>
    <t>ФОТ оператора</t>
  </si>
  <si>
    <t>1.4.</t>
  </si>
  <si>
    <t>Страховые взносы (ПФ, ФСС, ОМС) полной рабочей группы</t>
  </si>
  <si>
    <t xml:space="preserve">% к ФОТ </t>
  </si>
  <si>
    <t>1.5.</t>
  </si>
  <si>
    <t>Аренда помещений, включая комм. расходы и тех. обслуживание (уборка+ охрана)</t>
  </si>
  <si>
    <t>кв.м.</t>
  </si>
  <si>
    <t>1.6.</t>
  </si>
  <si>
    <t>Интернет</t>
  </si>
  <si>
    <t>% абонентской платы/мес. пропорционально плановому кол-ву РГ+ непроизводственный персонал</t>
  </si>
  <si>
    <t>1.7.</t>
  </si>
  <si>
    <t>Сотовая связь, стационарный телефон</t>
  </si>
  <si>
    <t>1.8.</t>
  </si>
  <si>
    <t>Расходы на спецоператоров  связи - в среднем 2 отчета/месяц на 1 клиента</t>
  </si>
  <si>
    <t>отчет/кв.</t>
  </si>
  <si>
    <t>1.9.</t>
  </si>
  <si>
    <t>Найм персонала: компесация "текучки кадров" в полной РГ, включая издержки на передачу дел</t>
  </si>
  <si>
    <t>совокупно 10% к ФОТ полной РГ</t>
  </si>
  <si>
    <t>1.10.</t>
  </si>
  <si>
    <t>Обучение персонала РГ технологии 1С:БО, порядку ведения регламентированного учета в соответствии с актуальными требованиями нормативных документов</t>
  </si>
  <si>
    <t>1.11.</t>
  </si>
  <si>
    <t>Страхование профессиональной ответственности</t>
  </si>
  <si>
    <t>1.12.</t>
  </si>
  <si>
    <t>Информационное обеспечение РГ (справочные БД, диски ИТС с обновлением ПП 1С и т.п.)</t>
  </si>
  <si>
    <t>1.13.</t>
  </si>
  <si>
    <t>Канц. товары</t>
  </si>
  <si>
    <t>1.14.</t>
  </si>
  <si>
    <t>Расходы на переоборудование рабочих мест РГ (компьютеры, мебель, орг. техника)</t>
  </si>
  <si>
    <t>1.15.</t>
  </si>
  <si>
    <t>Тех. обслуживание и ремонт оборудования рабочих мест РГ (мебель, компьютеры, орг. техника)</t>
  </si>
  <si>
    <t>1.16.</t>
  </si>
  <si>
    <t>Представительские расходы</t>
  </si>
  <si>
    <t>1.17.</t>
  </si>
  <si>
    <t>Уплата штрафов (задержка сдачи отчетности клиентов), компенсаций клиентам (ошибки в учете, отчетности, расчете налогов)</t>
  </si>
  <si>
    <t>ИТОГО прямые расходы полной РГ</t>
  </si>
  <si>
    <t>Себестоимость обработки 1 документа полной РГ</t>
  </si>
  <si>
    <t>2.</t>
  </si>
  <si>
    <t>Операционные расходы на полную рабочую группу</t>
  </si>
  <si>
    <t>2.1.</t>
  </si>
  <si>
    <t>руководитель СП - доля ФОТ - пропорционально кол-ву рабочих групп для планового кол-ва клиентов</t>
  </si>
  <si>
    <t>2.2.</t>
  </si>
  <si>
    <t>курьер - доля ФОТ численности персонала - пропорционально кол-ву рабочих групп для планового кол-ва клиентов</t>
  </si>
  <si>
    <t>2.3.</t>
  </si>
  <si>
    <t>менеджер по работе с клиентами - доля ФОТ численности персонала - пропорционально кол-ву рабочих групп для планового кол-ва клиентов</t>
  </si>
  <si>
    <t>2.4.</t>
  </si>
  <si>
    <t>методист - доля ФОТ численности персонала - пропорционально кол-ву рабочих групп для планового кол-ва клиентов</t>
  </si>
  <si>
    <t>2.5.</t>
  </si>
  <si>
    <t>менеджер по продажам - доля ФОТ численности персонала - пропорционально кол-ву рабочих групп для планового кол-ва клиентов</t>
  </si>
  <si>
    <t>2.6.</t>
  </si>
  <si>
    <t>2.7.</t>
  </si>
  <si>
    <t>2.8.</t>
  </si>
  <si>
    <t>2.9.</t>
  </si>
  <si>
    <t>2.11.</t>
  </si>
  <si>
    <t>Найм персонала, включая издержки на передачу дел</t>
  </si>
  <si>
    <t>совокупно 9,5% к ФОТ полной РГ</t>
  </si>
  <si>
    <t>2.12.</t>
  </si>
  <si>
    <t xml:space="preserve">Обучение менеджеров по продажам, методиста, включая подписку на периодику и инф.-конс. системы </t>
  </si>
  <si>
    <t>2.13.</t>
  </si>
  <si>
    <t>2.14.</t>
  </si>
  <si>
    <t xml:space="preserve">Оплата проезда курьеру </t>
  </si>
  <si>
    <t>2.15.</t>
  </si>
  <si>
    <t>2.16.</t>
  </si>
  <si>
    <t>2.17.</t>
  </si>
  <si>
    <t>2.18.</t>
  </si>
  <si>
    <t>Прочие непредвиденные расходы - не попавшие ни в одну из статей</t>
  </si>
  <si>
    <t>ВСЕГО операционные расходы на полную РГ</t>
  </si>
  <si>
    <t>3.</t>
  </si>
  <si>
    <t xml:space="preserve">Расходы на сбыт(реклама, маркетинг) </t>
  </si>
  <si>
    <t>% к ФОТ полной РГ</t>
  </si>
  <si>
    <t>4.</t>
  </si>
  <si>
    <t>ВСЕГО расходы прямые + операционные расходы+ расходы на сбыт</t>
  </si>
  <si>
    <t>5.</t>
  </si>
  <si>
    <t>Плановая выручка полной рабочей группы от клиентов на "среднем" тарифе</t>
  </si>
  <si>
    <t>6.</t>
  </si>
  <si>
    <t>Цена обработки 1 документа</t>
  </si>
  <si>
    <t>7.</t>
  </si>
  <si>
    <t>Средний тариф</t>
  </si>
  <si>
    <t>ПЛАН ПРОДАЖ</t>
  </si>
  <si>
    <t>Показатель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</si>
  <si>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</si>
  <si>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</si>
  <si>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</si>
  <si>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</si>
  <si>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</si>
  <si>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</si>
  <si>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</si>
  <si>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</si>
  <si>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</si>
  <si>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</si>
  <si>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</si>
  <si>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</si>
  <si>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13 месяц</t>
  </si>
  <si>
    <t>14 месяц</t>
  </si>
  <si>
    <t>15 месяц</t>
  </si>
  <si>
    <t>16 месяц</t>
  </si>
  <si>
    <t>17 месяц</t>
  </si>
  <si>
    <t>18 месяц</t>
  </si>
  <si>
    <t>19 месяц</t>
  </si>
  <si>
    <t>20 месяц</t>
  </si>
  <si>
    <t>21 месяц</t>
  </si>
  <si>
    <t>22 месяц</t>
  </si>
  <si>
    <t>23 месяц</t>
  </si>
  <si>
    <t>24 месяц</t>
  </si>
  <si>
    <t>25 месяц</t>
  </si>
  <si>
    <t>26 месяц</t>
  </si>
  <si>
    <t>27 месяц</t>
  </si>
  <si>
    <t>28 месяц</t>
  </si>
  <si>
    <t>29 месяц</t>
  </si>
  <si>
    <t>30 месяц</t>
  </si>
  <si>
    <t>31 месяц</t>
  </si>
  <si>
    <t>32 месяц</t>
  </si>
  <si>
    <t>33 месяц</t>
  </si>
  <si>
    <t>34 месяц</t>
  </si>
  <si>
    <t>35 месяц</t>
  </si>
  <si>
    <t>36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</si>
  <si>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</si>
  <si>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</si>
  <si>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</si>
  <si>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</si>
  <si>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</si>
  <si>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</si>
  <si>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</si>
  <si>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</si>
  <si>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</si>
  <si>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</si>
  <si>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</si>
  <si>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</si>
  <si>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Новые клиенты, кол-во</t>
  </si>
  <si>
    <t>Клиентская база нарастающим итогом</t>
  </si>
  <si>
    <t>Норматив отвала клиентов в текущем месяце</t>
  </si>
  <si>
    <t>Норматив отвала клиентов нарастающим итогом</t>
  </si>
  <si>
    <t>Клиентская база нарастающим итогом с учетом норматива отвала</t>
  </si>
  <si>
    <t xml:space="preserve">Выручка по тарифам  </t>
  </si>
  <si>
    <t>Оказано дополнительных услуг (без учета новых клиентов текущего месяца)</t>
  </si>
  <si>
    <t>ИТОГО ВЫРУЧКА</t>
  </si>
  <si>
    <t xml:space="preserve">!!! Расчет продаж учетных контрактов сделан, исходя из следующих допущений: </t>
  </si>
  <si>
    <t>В течение первых 6-ти месяцев деятельности фирмы-аутсорсера продажами занимаются 1 менеджер по продажам 100% рабочего времени и руководитель направления 1С:БО "производственник" или "продавец" до 60% рабочего времени (см. Презентацию "Орг. структура фирмы-аутсорсера на старте"</t>
  </si>
  <si>
    <t>Далее продажами занимаются два менеджера по продажам, руководитель подключается к "сложным", "дорогим" клиентам</t>
  </si>
  <si>
    <t>Предложенный в финансовой модели вариант организации работы менеджеров рассчитан на старт в проекте с минимальными ресурсами. Партнер 1С:БО может на свое усмотрение определить количество менеджеров по продажам на старте проекта. Соответствующим образом изменив скорость прироста клиентской базы</t>
  </si>
  <si>
    <t>Клиентов на обслуживании за месяц</t>
  </si>
  <si>
    <t xml:space="preserve">Рабочие группы </t>
  </si>
  <si>
    <t>Документов, полученных от клиентов для обработки (док./мес.)</t>
  </si>
  <si>
    <t>Документов на неполную Рабочую группу (док./мес.)</t>
  </si>
  <si>
    <t>Полных рабочих групп</t>
  </si>
  <si>
    <t>Всего рабочих групп/мес.</t>
  </si>
  <si>
    <t>Главный бухгалтер, чел.</t>
  </si>
  <si>
    <t>Бухгалтер, чел.</t>
  </si>
  <si>
    <t>Оператор, чел.</t>
  </si>
  <si>
    <t>Итого численность производственного персонала</t>
  </si>
  <si>
    <t>Сбытовой персонал</t>
  </si>
  <si>
    <t>Расчет загрузки менеджера по продажам</t>
  </si>
  <si>
    <t>Численность менеджеров по продажам</t>
  </si>
  <si>
    <t>Итого численность сбытового персонала</t>
  </si>
  <si>
    <t>АУП и вспомогательный производственный персонал</t>
  </si>
  <si>
    <t>Руководитель</t>
  </si>
  <si>
    <t>Заместитель руководителя</t>
  </si>
  <si>
    <t>Менеджер по работе с клиентами</t>
  </si>
  <si>
    <t>Методист</t>
  </si>
  <si>
    <t>Курьер</t>
  </si>
  <si>
    <t>Итого численность АУП и вспом. производственного персонала</t>
  </si>
  <si>
    <t>Численность персонала</t>
  </si>
  <si>
    <t>из них:</t>
  </si>
  <si>
    <t>Количество офисных сотрудников</t>
  </si>
  <si>
    <t>Планирование ФОТ персонала</t>
  </si>
  <si>
    <t>Рабочие группы</t>
  </si>
  <si>
    <t>Главный бухгалтер</t>
  </si>
  <si>
    <t>Бухгалтер</t>
  </si>
  <si>
    <t>Оператор</t>
  </si>
  <si>
    <t>Итого ФОТ производственного персонала</t>
  </si>
  <si>
    <t>Менеджер по продажам</t>
  </si>
  <si>
    <t>Оклад</t>
  </si>
  <si>
    <t xml:space="preserve">Бонус за продажи продаж </t>
  </si>
  <si>
    <t>Итого ФОТ сбытового персонала</t>
  </si>
  <si>
    <t>Итого ФОТ АУП и вспомогательного производственного персонала</t>
  </si>
  <si>
    <t>Итого ФОТ сбыт+АУП+вспом. производственный персонал</t>
  </si>
  <si>
    <t>Справочно:</t>
  </si>
  <si>
    <t xml:space="preserve">Отношение ФОТ рабочих групп к выручке </t>
  </si>
  <si>
    <t>Константы</t>
  </si>
  <si>
    <t>в месяц</t>
  </si>
  <si>
    <t>Площадь помещений на 1 сотрудника, кв м</t>
  </si>
  <si>
    <t>Ставка аренды 1 кв м с учетом коммунальных платежей, руб</t>
  </si>
  <si>
    <t>Минимальная площадь аренды, кв м</t>
  </si>
  <si>
    <t>Шаг площади аренды, кв м</t>
  </si>
  <si>
    <t>Аренда площадей и услуги связи</t>
  </si>
  <si>
    <t>Кол-во офисных сотрудников</t>
  </si>
  <si>
    <t>Итого площадь помещений, кв м</t>
  </si>
  <si>
    <t>Расходы на аренду/мес.</t>
  </si>
  <si>
    <t>Кол-во производственного персонала</t>
  </si>
  <si>
    <t>Удельный вес производственного персонала в общей численности</t>
  </si>
  <si>
    <t>Доля площадей, приходящаяся на производственный персонал</t>
  </si>
  <si>
    <t>Затраты на оборудование новых рабочих мест</t>
  </si>
  <si>
    <t>Прирост офисных сотрудников</t>
  </si>
  <si>
    <t>Клиентов на обслуживании</t>
  </si>
  <si>
    <t xml:space="preserve">Выручка </t>
  </si>
  <si>
    <t>Прямые расходы на оказание услуг 1С:БО</t>
  </si>
  <si>
    <t>ФОТ рабочих групп</t>
  </si>
  <si>
    <t>Налоги с ФОТ рабочих групп</t>
  </si>
  <si>
    <t>Расходы на спецоператоров связи</t>
  </si>
  <si>
    <t xml:space="preserve">Аренда площадей </t>
  </si>
  <si>
    <t>Итого прямых расходов на оказание услуг 1С:БО</t>
  </si>
  <si>
    <t xml:space="preserve">Операционные расходы </t>
  </si>
  <si>
    <t>ФОТ АУП, сбытовой персонал, вспом. производственный персонал</t>
  </si>
  <si>
    <t xml:space="preserve">Налоги с ФОТ </t>
  </si>
  <si>
    <t>Сбытовые расходы(реклама, продвижение)</t>
  </si>
  <si>
    <t>Расходы на изготовление визиток</t>
  </si>
  <si>
    <t>Изготовление вывесок, указателей, плакатов, другой рекламной продукции в офис</t>
  </si>
  <si>
    <t>Иные расходы на продвижение (реклама, продвижение сайта, изготовление раздатки, проведение семинаров и др.)</t>
  </si>
  <si>
    <t>Сумма расходов на сбыт</t>
  </si>
  <si>
    <t>Аренда площадей</t>
  </si>
  <si>
    <t>Услуги связи (телефон)</t>
  </si>
  <si>
    <t>Итого операционные расходы</t>
  </si>
  <si>
    <t>Накладные расходы (20% общий ФОТ)</t>
  </si>
  <si>
    <t xml:space="preserve">Прибыль до уплаты роялти управляющей компании </t>
  </si>
  <si>
    <t>Роялти управляющей компании (5%) выручки</t>
  </si>
  <si>
    <t xml:space="preserve">Капитальные затраты </t>
  </si>
  <si>
    <t>Оборудование рабочих мест и офиса</t>
  </si>
  <si>
    <t>Итого капитальные затраты</t>
  </si>
  <si>
    <t>ВСЕГО расходы на ведение бизнеса</t>
  </si>
  <si>
    <t xml:space="preserve">Валовая прибыль </t>
  </si>
  <si>
    <t xml:space="preserve">Налог </t>
  </si>
  <si>
    <t>Чистая прибыль/убыток</t>
  </si>
  <si>
    <t>Чистая прибыль нарастающим итогом</t>
  </si>
  <si>
    <t>Рентабельность по чистой прибыли</t>
  </si>
  <si>
    <t xml:space="preserve">БАЛАНС ДЕНЕЖНЫХ РАСХОДОВ И ПОСТУПЛЕНИЙ </t>
  </si>
  <si>
    <t>Остаток денежных средств на начало периода</t>
  </si>
  <si>
    <t>Поступления денежных средств всего</t>
  </si>
  <si>
    <t>в т.ч.</t>
  </si>
  <si>
    <t>выручка всего</t>
  </si>
  <si>
    <t xml:space="preserve">в т.ч. </t>
  </si>
  <si>
    <t>услуги 1С:БО по тарифам</t>
  </si>
  <si>
    <t>дополнительные услуги</t>
  </si>
  <si>
    <t xml:space="preserve">Гарантийные взносы, полученные от новых клиентов </t>
  </si>
  <si>
    <t>Кредиты, займы и другие поступления всего</t>
  </si>
  <si>
    <t>Собственные средства</t>
  </si>
  <si>
    <t xml:space="preserve">Кредиты, займы </t>
  </si>
  <si>
    <t>прочие поступления</t>
  </si>
  <si>
    <t>Прибыли - убытки (справочно)</t>
  </si>
  <si>
    <t>Текущие денежные платежи всего:</t>
  </si>
  <si>
    <t xml:space="preserve">Заработная плата персонала, вкл. НДФЛ, в т.ч. </t>
  </si>
  <si>
    <t>аванс 40% от ФОТ за месяц</t>
  </si>
  <si>
    <t>ок. расчет за месяц</t>
  </si>
  <si>
    <t>Аренда офиса</t>
  </si>
  <si>
    <t>Связь</t>
  </si>
  <si>
    <t>Налоги на ФОТ персонала</t>
  </si>
  <si>
    <t>Сбытовые расходы</t>
  </si>
  <si>
    <t>Налог (15%)</t>
  </si>
  <si>
    <t>Роялти в пользу управляющей компании</t>
  </si>
  <si>
    <t>Прочие расходы</t>
  </si>
  <si>
    <t>Прочие денежные платежи, всего:</t>
  </si>
  <si>
    <t>Покупка оборудования для рабочих мест</t>
  </si>
  <si>
    <t>Уплата % по займам</t>
  </si>
  <si>
    <t>Всего денежных платежей</t>
  </si>
  <si>
    <t>Денежные средства на конец периода</t>
  </si>
  <si>
    <t>Исходные данные для составления финансовой модели</t>
  </si>
  <si>
    <t>Комментарий</t>
  </si>
  <si>
    <t>Кол-во документов у 1 клиента на среднем тарифе в месяц, шт</t>
  </si>
  <si>
    <t>ФОТ сотрудников Рабочей группы</t>
  </si>
  <si>
    <t>в месяц, руб</t>
  </si>
  <si>
    <t>Норматив обслуживания клиентов  на среднем тарифе полной рабочей группой</t>
  </si>
  <si>
    <t>Оклад Главного бухгалтера</t>
  </si>
  <si>
    <t>Оклад бухгалтера</t>
  </si>
  <si>
    <t>Оклад оператора</t>
  </si>
  <si>
    <t xml:space="preserve">Плановая рентабельность продаж </t>
  </si>
  <si>
    <t>Итого:</t>
  </si>
  <si>
    <t>Плановое количество полных рабочих групп через 36 месяцев от даты начала деятельности</t>
  </si>
  <si>
    <t>Лимиты производительности</t>
  </si>
  <si>
    <t>ФОТ прочих сотрудников</t>
  </si>
  <si>
    <t>Максимальное количество  первичных документов клиентов, которые должен за месяц обработать  1 оператор по вводу данных</t>
  </si>
  <si>
    <t>ФОТ руководителя</t>
  </si>
  <si>
    <t>Максимальное количество документов на Рабочую группу</t>
  </si>
  <si>
    <t>ФОТ заместителя руководителя</t>
  </si>
  <si>
    <t xml:space="preserve">Норматив выработки для оператора по вводу данных, мин/ на 1 документ </t>
  </si>
  <si>
    <t>ФОТ менеджера по работе с клиентами</t>
  </si>
  <si>
    <t>ФОТ курьера</t>
  </si>
  <si>
    <t>Состав и стоимость одного рабочего места</t>
  </si>
  <si>
    <t>разово</t>
  </si>
  <si>
    <t>ФОТ методиста</t>
  </si>
  <si>
    <t>Стол</t>
  </si>
  <si>
    <t>Стул</t>
  </si>
  <si>
    <t>Компьютер (системный блок, монитор, клавиатура, мышь)</t>
  </si>
  <si>
    <t>Прочее (телефон, перв. набор канцтоваров)</t>
  </si>
  <si>
    <t>ФОТ менеджеров по продажам</t>
  </si>
  <si>
    <t xml:space="preserve">Win Pro 7 Russian Russia Only DVD </t>
  </si>
  <si>
    <t>Оклад в месяц, руб</t>
  </si>
  <si>
    <t xml:space="preserve">Office Home and Business 2010 32/64 Russian for Russia ONLY DVD5 </t>
  </si>
  <si>
    <t>Премия за продажи, % от оборота новых клиентов</t>
  </si>
  <si>
    <t xml:space="preserve">WinSvrCAL 2008 RUS OLP NL UsrCAL </t>
  </si>
  <si>
    <t>Итого</t>
  </si>
  <si>
    <t>Накладные расходы в % к ФОТ персонала</t>
  </si>
  <si>
    <t>% отвала клиентов</t>
  </si>
  <si>
    <t>Прочие разовые капитальные затраты (Паушальный взнос + подключение телефонов и интернета, ремонт, оплата последнего месяца по аренде, оплата услуг риэлтора и т.п.)</t>
  </si>
  <si>
    <t>Паушальный взнос установлен по-умолчанию</t>
  </si>
  <si>
    <t>плановый % дополнительных услуг к выручке по тарифам</t>
  </si>
  <si>
    <t xml:space="preserve">% возмещения части сбытовых расходов СП управляющей компанией 1С:БО </t>
  </si>
  <si>
    <t>!!! Исходные данные для финансовой модели сформированы для варианта подключения  всех клиентов  услуг 1С:БО в облако 1С:БО</t>
  </si>
  <si>
    <t>Аренда и связь</t>
  </si>
  <si>
    <t>Ставка аренды 1 кв.м./мес. + комм. услуги + тех.обслуживание офиса(уборка, вывоз мусора и .п.), руб</t>
  </si>
  <si>
    <t>офис среднего класса, без отдельного входа</t>
  </si>
  <si>
    <t>Расходы на интернет в месяц, руб</t>
  </si>
  <si>
    <t>Желательна безлимитная выделенная линия для работы IP телефонии (она сильно дешевле традиционной и более функциональна) - для начала достаточно 5-10 Мбит/с</t>
  </si>
  <si>
    <t>Сотовая связь, стационарный телефон в месяц, руб</t>
  </si>
  <si>
    <t>Для начала 2-3 - канальный телефон (желательно безлиитная многоканальная IP телефония - например Астерикс) + мобильник на безлимитном тарифе, если через IP телефонию выходит дороже.</t>
  </si>
  <si>
    <t>Расходы на спецоператоров</t>
  </si>
  <si>
    <t>Расходы по отправке 1 отчета через Интернет, руб</t>
  </si>
  <si>
    <t>Ставка УСН Доход-Расход в регионе</t>
  </si>
  <si>
    <t>Ставка налога</t>
  </si>
  <si>
    <t>Возмещение части расходов на сбыт за счет управляющей компании 1С:БО (20% от роялти)</t>
  </si>
  <si>
    <t>Прогноз финансовых результатов деятельности</t>
  </si>
  <si>
    <t>Планирование   численности персонала в зависимости от прироста клиентской базы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</si>
</sst>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0.0"/>
    <numFmt numFmtId="166" formatCode="#,##0_ ;[Red]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b/>
      <sz val="10"/>
      <color indexed="8"/>
      <name val="Courier New"/>
      <family val="3"/>
      <charset val="204"/>
    </font>
    <font>
      <b/>
      <sz val="11"/>
      <color indexed="18"/>
      <name val="Courier New"/>
      <family val="3"/>
      <charset val="204"/>
    </font>
    <font>
      <sz val="10"/>
      <name val="Courier New"/>
      <family val="3"/>
      <charset val="204"/>
    </font>
    <font>
      <sz val="10"/>
      <color indexed="8"/>
      <name val="Calibri"/>
      <family val="2"/>
      <charset val="204"/>
    </font>
    <font>
      <b/>
      <sz val="10"/>
      <color indexed="12"/>
      <name val="Courier New"/>
      <family val="3"/>
      <charset val="204"/>
    </font>
    <font>
      <sz val="10"/>
      <color indexed="12"/>
      <name val="Courier New"/>
      <family val="3"/>
      <charset val="204"/>
    </font>
    <font>
      <b/>
      <sz val="12"/>
      <color indexed="8"/>
      <name val="Courier New"/>
      <family val="3"/>
      <charset val="204"/>
    </font>
    <font>
      <sz val="9"/>
      <color indexed="81"/>
      <name val="Tahoma"/>
      <family val="2"/>
      <charset val="204"/>
    </font>
    <font>
      <i/>
      <sz val="10"/>
      <color indexed="8"/>
      <name val="Courier New"/>
      <family val="3"/>
      <charset val="204"/>
    </font>
    <font>
      <sz val="10"/>
      <color indexed="10"/>
      <name val="Courier New"/>
      <family val="3"/>
      <charset val="204"/>
    </font>
    <font>
      <sz val="11"/>
      <color rgb="FF9C65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6" fillId="4" borderId="0" applyNumberFormat="0" applyBorder="0" applyAlignment="0" applyProtection="0"/>
  </cellStyleXfs>
  <cellXfs count="241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3" fontId="6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9" fontId="4" fillId="5" borderId="1" xfId="0" applyNumberFormat="1" applyFont="1" applyFill="1" applyBorder="1" applyAlignment="1" applyProtection="1">
      <alignment horizontal="center" vertical="center"/>
    </xf>
    <xf numFmtId="3" fontId="4" fillId="5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 wrapText="1"/>
    </xf>
    <xf numFmtId="3" fontId="4" fillId="5" borderId="6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16" fillId="4" borderId="1" xfId="4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4" borderId="11" xfId="4" applyBorder="1" applyAlignment="1" applyProtection="1">
      <alignment horizontal="center" vertical="center"/>
    </xf>
    <xf numFmtId="0" fontId="16" fillId="4" borderId="6" xfId="4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Border="1" applyProtection="1"/>
    <xf numFmtId="9" fontId="4" fillId="0" borderId="0" xfId="0" applyNumberFormat="1" applyFont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wrapText="1"/>
    </xf>
    <xf numFmtId="1" fontId="4" fillId="0" borderId="1" xfId="0" applyNumberFormat="1" applyFont="1" applyBorder="1" applyAlignment="1" applyProtection="1">
      <alignment wrapText="1"/>
    </xf>
    <xf numFmtId="0" fontId="5" fillId="0" borderId="0" xfId="0" applyFont="1" applyAlignment="1" applyProtection="1"/>
    <xf numFmtId="0" fontId="4" fillId="0" borderId="0" xfId="0" applyFont="1" applyAlignment="1" applyProtection="1">
      <alignment horizontal="center" wrapText="1"/>
    </xf>
    <xf numFmtId="0" fontId="4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/>
    <xf numFmtId="0" fontId="6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3" fontId="7" fillId="0" borderId="0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center" wrapText="1"/>
    </xf>
    <xf numFmtId="10" fontId="4" fillId="0" borderId="1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10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right" wrapText="1"/>
    </xf>
    <xf numFmtId="0" fontId="4" fillId="2" borderId="0" xfId="0" applyFont="1" applyFill="1" applyAlignment="1" applyProtection="1">
      <alignment horizont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wrapText="1"/>
    </xf>
    <xf numFmtId="10" fontId="4" fillId="0" borderId="4" xfId="0" applyNumberFormat="1" applyFont="1" applyBorder="1" applyAlignment="1" applyProtection="1">
      <alignment horizontal="center" wrapText="1"/>
    </xf>
    <xf numFmtId="0" fontId="4" fillId="2" borderId="3" xfId="0" applyFont="1" applyFill="1" applyBorder="1" applyProtection="1"/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7" fillId="0" borderId="2" xfId="0" applyFont="1" applyBorder="1" applyAlignment="1" applyProtection="1">
      <alignment horizontal="center"/>
    </xf>
    <xf numFmtId="9" fontId="4" fillId="0" borderId="3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wrapText="1"/>
    </xf>
    <xf numFmtId="9" fontId="4" fillId="0" borderId="1" xfId="0" applyNumberFormat="1" applyFont="1" applyBorder="1" applyAlignment="1" applyProtection="1">
      <alignment horizontal="center" vertical="center" wrapText="1"/>
    </xf>
    <xf numFmtId="3" fontId="4" fillId="0" borderId="5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left" vertical="center" wrapText="1"/>
    </xf>
    <xf numFmtId="3" fontId="8" fillId="0" borderId="4" xfId="0" applyNumberFormat="1" applyFont="1" applyFill="1" applyBorder="1" applyAlignment="1" applyProtection="1">
      <alignment horizontal="center" vertical="center" wrapText="1"/>
    </xf>
    <xf numFmtId="3" fontId="8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3" fontId="4" fillId="0" borderId="0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43" fontId="4" fillId="0" borderId="1" xfId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/>
    </xf>
    <xf numFmtId="1" fontId="4" fillId="0" borderId="6" xfId="0" applyNumberFormat="1" applyFon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wrapText="1"/>
    </xf>
    <xf numFmtId="1" fontId="4" fillId="0" borderId="1" xfId="0" applyNumberFormat="1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wrapText="1"/>
    </xf>
    <xf numFmtId="1" fontId="4" fillId="0" borderId="0" xfId="0" applyNumberFormat="1" applyFont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65" fontId="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3" fontId="4" fillId="0" borderId="0" xfId="0" applyNumberFormat="1" applyFont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center" wrapText="1"/>
    </xf>
    <xf numFmtId="9" fontId="4" fillId="0" borderId="1" xfId="0" applyNumberFormat="1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3" fontId="6" fillId="0" borderId="1" xfId="0" applyNumberFormat="1" applyFont="1" applyBorder="1" applyAlignment="1" applyProtection="1">
      <alignment horizontal="center" wrapText="1"/>
    </xf>
    <xf numFmtId="3" fontId="4" fillId="6" borderId="1" xfId="0" applyNumberFormat="1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3" fontId="4" fillId="0" borderId="1" xfId="0" applyNumberFormat="1" applyFont="1" applyBorder="1" applyAlignment="1" applyProtection="1">
      <alignment wrapText="1"/>
    </xf>
    <xf numFmtId="3" fontId="15" fillId="6" borderId="1" xfId="0" applyNumberFormat="1" applyFont="1" applyFill="1" applyBorder="1" applyAlignment="1" applyProtection="1">
      <alignment horizontal="center"/>
    </xf>
    <xf numFmtId="3" fontId="15" fillId="0" borderId="1" xfId="0" applyNumberFormat="1" applyFont="1" applyBorder="1" applyAlignment="1" applyProtection="1">
      <alignment horizontal="center"/>
    </xf>
    <xf numFmtId="3" fontId="4" fillId="2" borderId="1" xfId="2" applyNumberFormat="1" applyFont="1" applyFill="1" applyBorder="1" applyAlignment="1" applyProtection="1">
      <alignment horizontal="center"/>
    </xf>
    <xf numFmtId="3" fontId="4" fillId="0" borderId="1" xfId="2" applyNumberFormat="1" applyFont="1" applyBorder="1" applyAlignment="1" applyProtection="1">
      <alignment horizontal="center"/>
    </xf>
    <xf numFmtId="3" fontId="4" fillId="6" borderId="1" xfId="2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right" wrapText="1"/>
    </xf>
    <xf numFmtId="3" fontId="4" fillId="0" borderId="1" xfId="0" applyNumberFormat="1" applyFont="1" applyFill="1" applyBorder="1" applyAlignment="1" applyProtection="1">
      <alignment wrapText="1"/>
    </xf>
    <xf numFmtId="3" fontId="4" fillId="2" borderId="0" xfId="0" applyNumberFormat="1" applyFont="1" applyFill="1" applyAlignment="1" applyProtection="1">
      <alignment horizontal="center"/>
    </xf>
    <xf numFmtId="3" fontId="4" fillId="0" borderId="0" xfId="0" applyNumberFormat="1" applyFont="1" applyAlignment="1" applyProtection="1">
      <alignment horizontal="center"/>
    </xf>
    <xf numFmtId="3" fontId="6" fillId="0" borderId="1" xfId="0" applyNumberFormat="1" applyFont="1" applyBorder="1" applyAlignment="1" applyProtection="1">
      <alignment wrapText="1"/>
    </xf>
    <xf numFmtId="3" fontId="6" fillId="0" borderId="0" xfId="0" applyNumberFormat="1" applyFont="1" applyBorder="1" applyAlignment="1" applyProtection="1">
      <alignment wrapText="1"/>
    </xf>
    <xf numFmtId="3" fontId="6" fillId="0" borderId="1" xfId="0" applyNumberFormat="1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3" fontId="4" fillId="0" borderId="0" xfId="0" applyNumberFormat="1" applyFont="1" applyBorder="1" applyAlignment="1" applyProtection="1">
      <alignment vertical="center"/>
    </xf>
    <xf numFmtId="3" fontId="6" fillId="0" borderId="0" xfId="0" applyNumberFormat="1" applyFont="1" applyBorder="1" applyAlignment="1" applyProtection="1">
      <alignment vertical="center"/>
    </xf>
    <xf numFmtId="3" fontId="16" fillId="4" borderId="1" xfId="4" applyNumberFormat="1" applyBorder="1" applyAlignment="1" applyProtection="1">
      <alignment horizontal="center" vertical="center"/>
    </xf>
    <xf numFmtId="9" fontId="16" fillId="4" borderId="1" xfId="4" applyNumberForma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16" fillId="4" borderId="5" xfId="4" applyBorder="1" applyAlignment="1" applyProtection="1">
      <alignment horizontal="center" vertical="center"/>
    </xf>
    <xf numFmtId="3" fontId="16" fillId="4" borderId="1" xfId="4" applyNumberFormat="1" applyBorder="1" applyAlignment="1" applyProtection="1">
      <alignment horizontal="center"/>
    </xf>
    <xf numFmtId="17" fontId="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" fontId="4" fillId="0" borderId="0" xfId="0" applyNumberFormat="1" applyFont="1" applyProtection="1"/>
    <xf numFmtId="3" fontId="4" fillId="0" borderId="0" xfId="0" applyNumberFormat="1" applyFont="1" applyProtection="1"/>
    <xf numFmtId="0" fontId="4" fillId="0" borderId="0" xfId="0" applyFont="1" applyBorder="1" applyProtection="1"/>
    <xf numFmtId="9" fontId="4" fillId="0" borderId="0" xfId="0" applyNumberFormat="1" applyFont="1" applyProtection="1"/>
    <xf numFmtId="0" fontId="4" fillId="0" borderId="0" xfId="0" applyFont="1" applyFill="1" applyBorder="1" applyProtection="1"/>
    <xf numFmtId="0" fontId="4" fillId="0" borderId="0" xfId="0" applyFont="1" applyFill="1" applyProtection="1"/>
    <xf numFmtId="0" fontId="6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horizontal="center" vertical="center"/>
    </xf>
    <xf numFmtId="0" fontId="4" fillId="2" borderId="0" xfId="0" applyFont="1" applyFill="1" applyProtection="1"/>
    <xf numFmtId="0" fontId="9" fillId="3" borderId="1" xfId="3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wrapText="1"/>
    </xf>
    <xf numFmtId="1" fontId="4" fillId="0" borderId="0" xfId="0" applyNumberFormat="1" applyFont="1" applyAlignment="1" applyProtection="1">
      <alignment horizontal="center"/>
    </xf>
    <xf numFmtId="1" fontId="4" fillId="0" borderId="0" xfId="0" applyNumberFormat="1" applyFont="1" applyBorder="1" applyAlignment="1" applyProtection="1">
      <alignment wrapText="1"/>
    </xf>
    <xf numFmtId="0" fontId="6" fillId="0" borderId="0" xfId="0" applyFont="1" applyProtection="1"/>
    <xf numFmtId="0" fontId="4" fillId="2" borderId="0" xfId="0" applyFont="1" applyFill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/>
    <xf numFmtId="3" fontId="4" fillId="0" borderId="1" xfId="0" applyNumberFormat="1" applyFont="1" applyFill="1" applyBorder="1" applyProtection="1"/>
    <xf numFmtId="0" fontId="4" fillId="0" borderId="1" xfId="0" applyFont="1" applyBorder="1" applyAlignment="1" applyProtection="1">
      <alignment horizontal="right" vertical="center" wrapText="1"/>
    </xf>
    <xf numFmtId="0" fontId="14" fillId="0" borderId="1" xfId="0" applyFont="1" applyBorder="1" applyProtection="1"/>
    <xf numFmtId="3" fontId="14" fillId="0" borderId="1" xfId="0" applyNumberFormat="1" applyFont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3" fontId="14" fillId="2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Protection="1"/>
    <xf numFmtId="1" fontId="4" fillId="3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3" fontId="8" fillId="0" borderId="1" xfId="0" applyNumberFormat="1" applyFont="1" applyBorder="1" applyAlignment="1" applyProtection="1">
      <alignment horizontal="center" vertical="center"/>
    </xf>
    <xf numFmtId="3" fontId="8" fillId="6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3" fontId="6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Protection="1"/>
    <xf numFmtId="166" fontId="4" fillId="0" borderId="1" xfId="0" applyNumberFormat="1" applyFont="1" applyFill="1" applyBorder="1" applyAlignment="1" applyProtection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</xf>
    <xf numFmtId="166" fontId="4" fillId="0" borderId="1" xfId="0" applyNumberFormat="1" applyFont="1" applyBorder="1" applyAlignment="1" applyProtection="1">
      <alignment horizontal="center" vertical="center"/>
    </xf>
    <xf numFmtId="9" fontId="4" fillId="2" borderId="1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Border="1" applyProtection="1"/>
    <xf numFmtId="3" fontId="4" fillId="3" borderId="1" xfId="0" applyNumberFormat="1" applyFont="1" applyFill="1" applyBorder="1" applyAlignment="1" applyProtection="1">
      <alignment horizontal="center"/>
    </xf>
    <xf numFmtId="3" fontId="14" fillId="0" borderId="0" xfId="0" applyNumberFormat="1" applyFont="1" applyProtection="1"/>
    <xf numFmtId="3" fontId="6" fillId="0" borderId="0" xfId="0" applyNumberFormat="1" applyFont="1" applyProtection="1"/>
    <xf numFmtId="3" fontId="4" fillId="0" borderId="0" xfId="0" applyNumberFormat="1" applyFont="1" applyFill="1" applyProtection="1"/>
    <xf numFmtId="0" fontId="12" fillId="0" borderId="12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wrapText="1"/>
    </xf>
    <xf numFmtId="0" fontId="6" fillId="0" borderId="9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/>
    </xf>
    <xf numFmtId="3" fontId="6" fillId="0" borderId="6" xfId="0" applyNumberFormat="1" applyFont="1" applyBorder="1" applyAlignment="1" applyProtection="1">
      <alignment horizontal="center"/>
    </xf>
  </cellXfs>
  <cellStyles count="5">
    <cellStyle name="Нейтральный" xfId="4" builtinId="28"/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26"/>
  <sheetViews>
    <sheetView workbookViewId="0">
      <selection activeCell="A24" sqref="A24"/>
    </sheetView>
  </sheetViews>
  <sheetFormatPr defaultRowHeight="15" x14ac:dyDescent="0.25"/>
  <cols>
    <col min="1" max="1" width="100.140625" style="170" customWidth="1"/>
    <col min="2" max="16384" width="9.140625" style="170"/>
  </cols>
  <sheetData>
    <row r="1" spans="1:1" x14ac:dyDescent="0.25">
      <c r="A1" s="179" t="s">
        <v>0</v>
      </c>
    </row>
    <row r="2" spans="1:1" x14ac:dyDescent="0.25">
      <c r="A2" s="180"/>
    </row>
    <row r="3" spans="1:1" x14ac:dyDescent="0.25">
      <c r="A3" s="179" t="s">
        <v>1</v>
      </c>
    </row>
    <row r="4" spans="1:1" x14ac:dyDescent="0.25">
      <c r="A4" s="180" t="s">
        <v>2</v>
      </c>
    </row>
    <row r="5" spans="1:1" ht="30" x14ac:dyDescent="0.25">
      <c r="A5" s="180" t="s">
        <v>3</v>
      </c>
    </row>
    <row r="6" spans="1:1" x14ac:dyDescent="0.25">
      <c r="A6" s="180" t="s">
        <v>4</v>
      </c>
    </row>
    <row r="7" spans="1:1" x14ac:dyDescent="0.25">
      <c r="A7" s="180" t="s">
        <v>5</v>
      </c>
    </row>
    <row r="8" spans="1:1" ht="30" x14ac:dyDescent="0.25">
      <c r="A8" s="179" t="s">
        <v>6</v>
      </c>
    </row>
    <row r="9" spans="1:1" x14ac:dyDescent="0.25">
      <c r="A9" s="179" t="s">
        <v>7</v>
      </c>
    </row>
    <row r="10" spans="1:1" x14ac:dyDescent="0.25">
      <c r="A10" s="179" t="s">
        <v>8</v>
      </c>
    </row>
    <row r="11" spans="1:1" ht="30" x14ac:dyDescent="0.25">
      <c r="A11" s="180" t="s">
        <v>9</v>
      </c>
    </row>
    <row r="12" spans="1:1" x14ac:dyDescent="0.25">
      <c r="A12" s="180"/>
    </row>
    <row r="13" spans="1:1" ht="135" x14ac:dyDescent="0.25">
      <c r="A13" s="179" t="s">
        <v>10</v>
      </c>
    </row>
    <row r="14" spans="1:1" x14ac:dyDescent="0.25">
      <c r="A14" s="180"/>
    </row>
    <row r="15" spans="1:1" ht="30" x14ac:dyDescent="0.25">
      <c r="A15" s="179" t="s">
        <v>11</v>
      </c>
    </row>
    <row r="16" spans="1:1" x14ac:dyDescent="0.25">
      <c r="A16" s="180" t="s">
        <v>12</v>
      </c>
    </row>
    <row r="17" spans="1:1" x14ac:dyDescent="0.25">
      <c r="A17" s="180" t="s">
        <v>13</v>
      </c>
    </row>
    <row r="18" spans="1:1" x14ac:dyDescent="0.25">
      <c r="A18" s="180" t="s">
        <v>14</v>
      </c>
    </row>
    <row r="19" spans="1:1" x14ac:dyDescent="0.25">
      <c r="A19" s="180" t="s">
        <v>15</v>
      </c>
    </row>
    <row r="20" spans="1:1" x14ac:dyDescent="0.25">
      <c r="A20" s="180" t="s">
        <v>16</v>
      </c>
    </row>
    <row r="21" spans="1:1" x14ac:dyDescent="0.25">
      <c r="A21" s="180" t="s">
        <v>17</v>
      </c>
    </row>
    <row r="22" spans="1:1" x14ac:dyDescent="0.25">
      <c r="A22" s="180" t="s">
        <v>18</v>
      </c>
    </row>
    <row r="23" spans="1:1" x14ac:dyDescent="0.25">
      <c r="A23" s="180" t="s">
        <v>19</v>
      </c>
    </row>
    <row r="24" spans="1:1" x14ac:dyDescent="0.25">
      <c r="A24" s="180" t="s">
        <v>20</v>
      </c>
    </row>
    <row r="25" spans="1:1" x14ac:dyDescent="0.25">
      <c r="A25" s="180"/>
    </row>
    <row r="26" spans="1:1" ht="60" x14ac:dyDescent="0.25">
      <c r="A26" s="180" t="s">
        <v>21</v>
      </c>
    </row>
  </sheetData>
  <sheetProtection password="CA4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85" zoomScaleNormal="85" workbookViewId="0">
      <selection activeCell="B27" sqref="B27"/>
    </sheetView>
  </sheetViews>
  <sheetFormatPr defaultRowHeight="15" customHeight="1" x14ac:dyDescent="0.25"/>
  <cols>
    <col min="1" max="1" width="72.85546875" style="170" customWidth="1"/>
    <col min="2" max="2" width="18" style="170" customWidth="1"/>
    <col min="3" max="3" width="57.7109375" style="170" customWidth="1"/>
    <col min="4" max="4" width="9.140625" style="170"/>
    <col min="5" max="5" width="61.28515625" style="170" customWidth="1"/>
    <col min="6" max="6" width="18" style="170" customWidth="1"/>
    <col min="7" max="7" width="78.28515625" style="170" customWidth="1"/>
    <col min="8" max="16384" width="9.140625" style="170"/>
  </cols>
  <sheetData>
    <row r="1" spans="1:7" ht="15" customHeight="1" x14ac:dyDescent="0.25">
      <c r="A1" s="15" t="s">
        <v>300</v>
      </c>
      <c r="B1" s="11"/>
      <c r="C1" s="12"/>
      <c r="D1" s="10"/>
      <c r="E1" s="230"/>
      <c r="F1" s="230"/>
      <c r="G1" s="10"/>
    </row>
    <row r="2" spans="1:7" ht="15" customHeight="1" x14ac:dyDescent="0.25">
      <c r="A2" s="16"/>
      <c r="B2" s="17" t="s">
        <v>225</v>
      </c>
      <c r="C2" s="5" t="s">
        <v>301</v>
      </c>
      <c r="D2" s="34"/>
      <c r="E2" s="34"/>
      <c r="F2" s="11"/>
      <c r="G2" s="10"/>
    </row>
    <row r="3" spans="1:7" ht="15" customHeight="1" thickBot="1" x14ac:dyDescent="0.3">
      <c r="A3" s="18" t="s">
        <v>302</v>
      </c>
      <c r="B3" s="3">
        <v>100</v>
      </c>
      <c r="C3" s="3"/>
      <c r="D3" s="167"/>
      <c r="E3" s="17" t="s">
        <v>303</v>
      </c>
      <c r="F3" s="17" t="s">
        <v>304</v>
      </c>
      <c r="G3" s="35" t="s">
        <v>301</v>
      </c>
    </row>
    <row r="4" spans="1:7" ht="30" customHeight="1" x14ac:dyDescent="0.25">
      <c r="A4" s="4" t="s">
        <v>305</v>
      </c>
      <c r="B4" s="3">
        <f>B13/B3</f>
        <v>36</v>
      </c>
      <c r="C4" s="3"/>
      <c r="D4" s="171"/>
      <c r="E4" s="18" t="s">
        <v>306</v>
      </c>
      <c r="F4" s="36">
        <v>45000</v>
      </c>
      <c r="G4" s="18"/>
    </row>
    <row r="5" spans="1:7" ht="15" customHeight="1" x14ac:dyDescent="0.25">
      <c r="A5" s="19"/>
      <c r="B5" s="20"/>
      <c r="C5" s="20"/>
      <c r="D5" s="171"/>
      <c r="E5" s="18" t="s">
        <v>307</v>
      </c>
      <c r="F5" s="37">
        <v>30000</v>
      </c>
      <c r="G5" s="18"/>
    </row>
    <row r="6" spans="1:7" ht="15" customHeight="1" x14ac:dyDescent="0.25">
      <c r="A6" s="10"/>
      <c r="B6" s="11"/>
      <c r="C6" s="12"/>
      <c r="D6" s="171"/>
      <c r="E6" s="18" t="s">
        <v>308</v>
      </c>
      <c r="F6" s="33">
        <v>20000</v>
      </c>
      <c r="G6" s="18"/>
    </row>
    <row r="7" spans="1:7" ht="15" customHeight="1" x14ac:dyDescent="0.25">
      <c r="A7" s="18" t="s">
        <v>309</v>
      </c>
      <c r="B7" s="21">
        <v>0.2</v>
      </c>
      <c r="C7" s="6"/>
      <c r="D7" s="171"/>
      <c r="E7" s="31" t="s">
        <v>310</v>
      </c>
      <c r="F7" s="38">
        <f>SUM(F4:F6)</f>
        <v>95000</v>
      </c>
      <c r="G7" s="18"/>
    </row>
    <row r="8" spans="1:7" ht="30" customHeight="1" x14ac:dyDescent="0.25">
      <c r="A8" s="4" t="s">
        <v>311</v>
      </c>
      <c r="B8" s="22">
        <v>6</v>
      </c>
      <c r="C8" s="3"/>
      <c r="D8" s="171"/>
      <c r="E8" s="7"/>
      <c r="F8" s="8"/>
      <c r="G8" s="10"/>
    </row>
    <row r="9" spans="1:7" ht="15" customHeight="1" x14ac:dyDescent="0.25">
      <c r="A9" s="23"/>
      <c r="B9" s="20"/>
      <c r="C9" s="20"/>
      <c r="D9" s="171"/>
      <c r="E9" s="7"/>
      <c r="F9" s="8"/>
      <c r="G9" s="10"/>
    </row>
    <row r="10" spans="1:7" ht="15" customHeight="1" x14ac:dyDescent="0.25">
      <c r="A10" s="24"/>
      <c r="B10" s="20"/>
      <c r="C10" s="20"/>
      <c r="D10" s="171"/>
      <c r="E10" s="34"/>
      <c r="F10" s="11"/>
      <c r="G10" s="10"/>
    </row>
    <row r="11" spans="1:7" ht="15" customHeight="1" x14ac:dyDescent="0.25">
      <c r="A11" s="25" t="s">
        <v>312</v>
      </c>
      <c r="B11" s="17" t="s">
        <v>225</v>
      </c>
      <c r="C11" s="25"/>
      <c r="D11" s="171"/>
      <c r="E11" s="39" t="s">
        <v>313</v>
      </c>
      <c r="F11" s="17" t="s">
        <v>304</v>
      </c>
      <c r="G11" s="18"/>
    </row>
    <row r="12" spans="1:7" ht="45" customHeight="1" x14ac:dyDescent="0.25">
      <c r="A12" s="26" t="s">
        <v>314</v>
      </c>
      <c r="B12" s="27">
        <v>1200</v>
      </c>
      <c r="C12" s="3"/>
      <c r="D12" s="172"/>
      <c r="E12" s="40" t="s">
        <v>315</v>
      </c>
      <c r="F12" s="33">
        <v>55000</v>
      </c>
      <c r="G12" s="18"/>
    </row>
    <row r="13" spans="1:7" ht="15" customHeight="1" x14ac:dyDescent="0.25">
      <c r="A13" s="28" t="s">
        <v>316</v>
      </c>
      <c r="B13" s="22">
        <f>B12*3</f>
        <v>3600</v>
      </c>
      <c r="C13" s="3"/>
      <c r="D13" s="10"/>
      <c r="E13" s="41" t="s">
        <v>317</v>
      </c>
      <c r="F13" s="33">
        <v>45000</v>
      </c>
      <c r="G13" s="18"/>
    </row>
    <row r="14" spans="1:7" ht="30" customHeight="1" x14ac:dyDescent="0.25">
      <c r="A14" s="28" t="s">
        <v>318</v>
      </c>
      <c r="B14" s="22">
        <v>6</v>
      </c>
      <c r="C14" s="3"/>
      <c r="D14" s="167"/>
      <c r="E14" s="41" t="s">
        <v>319</v>
      </c>
      <c r="F14" s="33">
        <v>30000</v>
      </c>
      <c r="G14" s="18"/>
    </row>
    <row r="15" spans="1:7" ht="15" customHeight="1" x14ac:dyDescent="0.25">
      <c r="A15" s="24"/>
      <c r="B15" s="29"/>
      <c r="C15" s="30"/>
      <c r="D15" s="171"/>
      <c r="E15" s="41" t="s">
        <v>320</v>
      </c>
      <c r="F15" s="33">
        <v>15000</v>
      </c>
      <c r="G15" s="18"/>
    </row>
    <row r="16" spans="1:7" ht="15" customHeight="1" x14ac:dyDescent="0.25">
      <c r="A16" s="17" t="s">
        <v>321</v>
      </c>
      <c r="B16" s="17" t="s">
        <v>322</v>
      </c>
      <c r="C16" s="25"/>
      <c r="D16" s="171"/>
      <c r="E16" s="41" t="s">
        <v>323</v>
      </c>
      <c r="F16" s="33">
        <v>45000</v>
      </c>
      <c r="G16" s="18"/>
    </row>
    <row r="17" spans="1:7" ht="15" customHeight="1" x14ac:dyDescent="0.25">
      <c r="A17" s="28" t="s">
        <v>324</v>
      </c>
      <c r="B17" s="173">
        <v>3000</v>
      </c>
      <c r="C17" s="3"/>
      <c r="D17" s="171"/>
      <c r="E17" s="34"/>
      <c r="F17" s="11"/>
      <c r="G17" s="10"/>
    </row>
    <row r="18" spans="1:7" ht="15" customHeight="1" x14ac:dyDescent="0.25">
      <c r="A18" s="28" t="s">
        <v>325</v>
      </c>
      <c r="B18" s="173">
        <v>2000</v>
      </c>
      <c r="C18" s="3"/>
      <c r="D18" s="171"/>
      <c r="E18" s="34"/>
      <c r="F18" s="11"/>
      <c r="G18" s="10"/>
    </row>
    <row r="19" spans="1:7" ht="15" customHeight="1" x14ac:dyDescent="0.25">
      <c r="A19" s="28" t="s">
        <v>326</v>
      </c>
      <c r="B19" s="173">
        <v>25000</v>
      </c>
      <c r="C19" s="3"/>
      <c r="D19" s="171"/>
      <c r="E19" s="34"/>
      <c r="F19" s="11"/>
      <c r="G19" s="10"/>
    </row>
    <row r="20" spans="1:7" ht="15" customHeight="1" x14ac:dyDescent="0.25">
      <c r="A20" s="28" t="s">
        <v>327</v>
      </c>
      <c r="B20" s="173">
        <v>2500</v>
      </c>
      <c r="C20" s="3"/>
      <c r="D20" s="172"/>
      <c r="E20" s="229" t="s">
        <v>328</v>
      </c>
      <c r="F20" s="229"/>
      <c r="G20" s="18"/>
    </row>
    <row r="21" spans="1:7" ht="15" customHeight="1" x14ac:dyDescent="0.25">
      <c r="A21" s="28" t="s">
        <v>329</v>
      </c>
      <c r="B21" s="173">
        <v>9250</v>
      </c>
      <c r="C21" s="3"/>
      <c r="D21" s="10"/>
      <c r="E21" s="4" t="s">
        <v>330</v>
      </c>
      <c r="F21" s="33">
        <v>15000</v>
      </c>
      <c r="G21" s="18"/>
    </row>
    <row r="22" spans="1:7" ht="30" customHeight="1" x14ac:dyDescent="0.25">
      <c r="A22" s="28" t="s">
        <v>331</v>
      </c>
      <c r="B22" s="173">
        <v>9300</v>
      </c>
      <c r="C22" s="3"/>
      <c r="D22" s="10"/>
      <c r="E22" s="4" t="s">
        <v>332</v>
      </c>
      <c r="F22" s="174">
        <v>0.3</v>
      </c>
      <c r="G22" s="18"/>
    </row>
    <row r="23" spans="1:7" ht="15" customHeight="1" x14ac:dyDescent="0.25">
      <c r="A23" s="28" t="s">
        <v>333</v>
      </c>
      <c r="B23" s="173">
        <v>2000</v>
      </c>
      <c r="C23" s="3"/>
      <c r="D23" s="10"/>
      <c r="E23" s="23"/>
      <c r="F23" s="42"/>
      <c r="G23" s="10"/>
    </row>
    <row r="24" spans="1:7" ht="15" customHeight="1" x14ac:dyDescent="0.25">
      <c r="A24" s="31" t="s">
        <v>334</v>
      </c>
      <c r="B24" s="173">
        <f>SUM(B17:B23)</f>
        <v>53050</v>
      </c>
      <c r="C24" s="32"/>
      <c r="D24" s="10"/>
      <c r="E24" s="4" t="s">
        <v>335</v>
      </c>
      <c r="F24" s="43">
        <v>0.2</v>
      </c>
      <c r="G24" s="18"/>
    </row>
    <row r="25" spans="1:7" ht="15" customHeight="1" x14ac:dyDescent="0.25">
      <c r="A25" s="7"/>
      <c r="B25" s="8"/>
      <c r="C25" s="9"/>
      <c r="D25" s="10"/>
      <c r="E25" s="28" t="s">
        <v>336</v>
      </c>
      <c r="F25" s="43">
        <v>0.06</v>
      </c>
      <c r="G25" s="18"/>
    </row>
    <row r="26" spans="1:7" ht="64.5" customHeight="1" x14ac:dyDescent="0.25">
      <c r="A26" s="4" t="s">
        <v>337</v>
      </c>
      <c r="B26" s="33">
        <v>60000</v>
      </c>
      <c r="C26" s="14" t="s">
        <v>338</v>
      </c>
      <c r="D26" s="10"/>
      <c r="E26" s="28" t="s">
        <v>339</v>
      </c>
      <c r="F26" s="6">
        <v>0.1</v>
      </c>
      <c r="G26" s="18"/>
    </row>
    <row r="27" spans="1:7" ht="30" customHeight="1" x14ac:dyDescent="0.25">
      <c r="A27" s="7"/>
      <c r="B27" s="8"/>
      <c r="C27" s="9"/>
      <c r="D27" s="10"/>
      <c r="E27" s="28" t="s">
        <v>340</v>
      </c>
      <c r="F27" s="43">
        <v>0.2</v>
      </c>
      <c r="G27" s="18"/>
    </row>
    <row r="28" spans="1:7" ht="15" customHeight="1" x14ac:dyDescent="0.25">
      <c r="A28" s="10"/>
      <c r="B28" s="11"/>
      <c r="C28" s="12"/>
      <c r="D28" s="19"/>
      <c r="E28" s="34"/>
      <c r="F28" s="11"/>
      <c r="G28" s="10"/>
    </row>
    <row r="29" spans="1:7" ht="30" customHeight="1" x14ac:dyDescent="0.25">
      <c r="A29" s="231" t="s">
        <v>341</v>
      </c>
      <c r="B29" s="231"/>
      <c r="C29" s="231"/>
      <c r="D29" s="19"/>
      <c r="E29" s="232" t="s">
        <v>342</v>
      </c>
      <c r="F29" s="233"/>
      <c r="G29" s="18"/>
    </row>
    <row r="30" spans="1:7" ht="15" customHeight="1" x14ac:dyDescent="0.25">
      <c r="A30" s="175"/>
      <c r="B30" s="20"/>
      <c r="C30" s="20"/>
      <c r="D30" s="10"/>
      <c r="E30" s="44" t="s">
        <v>226</v>
      </c>
      <c r="F30" s="13">
        <v>3.5</v>
      </c>
      <c r="G30" s="18"/>
    </row>
    <row r="31" spans="1:7" ht="45" customHeight="1" x14ac:dyDescent="0.25">
      <c r="A31" s="175"/>
      <c r="B31" s="20"/>
      <c r="C31" s="20"/>
      <c r="D31" s="10"/>
      <c r="E31" s="44" t="s">
        <v>343</v>
      </c>
      <c r="F31" s="176">
        <v>1500</v>
      </c>
      <c r="G31" s="4" t="s">
        <v>344</v>
      </c>
    </row>
    <row r="32" spans="1:7" ht="45.75" customHeight="1" x14ac:dyDescent="0.25">
      <c r="A32" s="7"/>
      <c r="B32" s="8"/>
      <c r="C32" s="9"/>
      <c r="D32" s="10"/>
      <c r="E32" s="41" t="s">
        <v>345</v>
      </c>
      <c r="F32" s="33">
        <v>2000</v>
      </c>
      <c r="G32" s="4" t="s">
        <v>346</v>
      </c>
    </row>
    <row r="33" spans="1:7" ht="45.75" customHeight="1" x14ac:dyDescent="0.25">
      <c r="A33" s="10"/>
      <c r="B33" s="11"/>
      <c r="C33" s="12"/>
      <c r="D33" s="10"/>
      <c r="E33" s="41" t="s">
        <v>347</v>
      </c>
      <c r="F33" s="33">
        <v>1000</v>
      </c>
      <c r="G33" s="4" t="s">
        <v>348</v>
      </c>
    </row>
    <row r="34" spans="1:7" ht="15" customHeight="1" x14ac:dyDescent="0.25">
      <c r="A34" s="10"/>
      <c r="B34" s="11"/>
      <c r="C34" s="12"/>
      <c r="D34" s="10"/>
      <c r="E34" s="45"/>
      <c r="F34" s="177">
        <v>1</v>
      </c>
      <c r="G34" s="18"/>
    </row>
    <row r="35" spans="1:7" ht="15" customHeight="1" x14ac:dyDescent="0.25">
      <c r="A35" s="10"/>
      <c r="B35" s="11"/>
      <c r="C35" s="12"/>
      <c r="D35" s="10"/>
      <c r="E35" s="44" t="s">
        <v>228</v>
      </c>
      <c r="F35" s="177">
        <v>15</v>
      </c>
      <c r="G35" s="18"/>
    </row>
    <row r="36" spans="1:7" ht="15" customHeight="1" x14ac:dyDescent="0.25">
      <c r="A36" s="10"/>
      <c r="B36" s="11"/>
      <c r="C36" s="12"/>
      <c r="D36" s="10"/>
      <c r="E36" s="44" t="s">
        <v>229</v>
      </c>
      <c r="F36" s="177">
        <v>3</v>
      </c>
      <c r="G36" s="18"/>
    </row>
    <row r="37" spans="1:7" ht="15" customHeight="1" x14ac:dyDescent="0.25">
      <c r="A37" s="10"/>
      <c r="B37" s="11"/>
      <c r="C37" s="12"/>
      <c r="D37" s="10"/>
      <c r="E37" s="34"/>
      <c r="F37" s="11"/>
      <c r="G37" s="10"/>
    </row>
    <row r="38" spans="1:7" ht="15" customHeight="1" x14ac:dyDescent="0.25">
      <c r="A38" s="10"/>
      <c r="B38" s="11"/>
      <c r="C38" s="12"/>
      <c r="D38" s="10"/>
      <c r="E38" s="34"/>
      <c r="F38" s="11"/>
      <c r="G38" s="10"/>
    </row>
    <row r="39" spans="1:7" ht="15" customHeight="1" x14ac:dyDescent="0.25">
      <c r="A39" s="10"/>
      <c r="B39" s="11"/>
      <c r="C39" s="12"/>
      <c r="D39" s="10"/>
      <c r="E39" s="229" t="s">
        <v>349</v>
      </c>
      <c r="F39" s="229"/>
      <c r="G39" s="18"/>
    </row>
    <row r="40" spans="1:7" ht="15" customHeight="1" x14ac:dyDescent="0.25">
      <c r="A40" s="10"/>
      <c r="B40" s="11"/>
      <c r="C40" s="12"/>
      <c r="D40" s="10"/>
      <c r="E40" s="4" t="s">
        <v>350</v>
      </c>
      <c r="F40" s="5">
        <v>71</v>
      </c>
      <c r="G40" s="18"/>
    </row>
    <row r="41" spans="1:7" ht="15" customHeight="1" x14ac:dyDescent="0.25">
      <c r="A41" s="10"/>
      <c r="B41" s="11"/>
      <c r="C41" s="12"/>
      <c r="D41" s="178"/>
      <c r="E41" s="34"/>
      <c r="F41" s="11"/>
      <c r="G41" s="10"/>
    </row>
    <row r="42" spans="1:7" ht="15" customHeight="1" x14ac:dyDescent="0.25">
      <c r="A42" s="10"/>
      <c r="B42" s="11"/>
      <c r="C42" s="12"/>
      <c r="D42" s="10"/>
      <c r="E42" s="229" t="s">
        <v>351</v>
      </c>
      <c r="F42" s="229"/>
      <c r="G42" s="18"/>
    </row>
    <row r="43" spans="1:7" ht="15" customHeight="1" x14ac:dyDescent="0.25">
      <c r="A43" s="10"/>
      <c r="B43" s="11"/>
      <c r="C43" s="12"/>
      <c r="D43" s="10"/>
      <c r="E43" s="4" t="s">
        <v>352</v>
      </c>
      <c r="F43" s="33">
        <v>0.15</v>
      </c>
      <c r="G43" s="18"/>
    </row>
  </sheetData>
  <sheetProtection password="CA41" sheet="1" objects="1" scenarios="1"/>
  <protectedRanges>
    <protectedRange sqref="B17:B24 B26 F4:F6 F12:F16 F21:F22 F31:F36 F43" name="Диапазон1"/>
  </protectedRanges>
  <mergeCells count="6">
    <mergeCell ref="E42:F42"/>
    <mergeCell ref="E1:F1"/>
    <mergeCell ref="E20:F20"/>
    <mergeCell ref="A29:C29"/>
    <mergeCell ref="E29:F29"/>
    <mergeCell ref="E39:F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A4" zoomScaleNormal="100" workbookViewId="0">
      <selection activeCell="E67" sqref="E67"/>
    </sheetView>
  </sheetViews>
  <sheetFormatPr defaultRowHeight="14.25" customHeight="1" x14ac:dyDescent="0.25"/>
  <cols>
    <col min="1" max="1" width="6.140625" style="11" customWidth="1"/>
    <col min="2" max="2" width="79.5703125" style="48" customWidth="1"/>
    <col min="3" max="3" width="40.85546875" style="47" customWidth="1"/>
    <col min="4" max="4" width="12.5703125" style="49" customWidth="1"/>
    <col min="5" max="5" width="13" style="50" customWidth="1"/>
    <col min="6" max="6" width="16.140625" style="19" customWidth="1"/>
    <col min="7" max="11" width="9.140625" style="48"/>
    <col min="12" max="12" width="10.140625" style="48" customWidth="1"/>
    <col min="13" max="16384" width="9.140625" style="48"/>
  </cols>
  <sheetData>
    <row r="1" spans="1:13" ht="15.75" x14ac:dyDescent="0.3">
      <c r="B1" s="46" t="s">
        <v>22</v>
      </c>
      <c r="D1" s="46"/>
      <c r="E1" s="46"/>
      <c r="F1" s="46"/>
      <c r="G1" s="46"/>
      <c r="H1" s="46"/>
      <c r="I1" s="46"/>
      <c r="J1" s="46"/>
    </row>
    <row r="2" spans="1:13" ht="13.5" x14ac:dyDescent="0.25"/>
    <row r="3" spans="1:13" ht="15.75" x14ac:dyDescent="0.3">
      <c r="A3" s="51" t="s">
        <v>23</v>
      </c>
      <c r="B3" s="51"/>
    </row>
    <row r="4" spans="1:13" ht="6.75" customHeight="1" x14ac:dyDescent="0.3">
      <c r="A4" s="51"/>
      <c r="B4" s="52"/>
      <c r="C4" s="53"/>
      <c r="D4" s="29"/>
    </row>
    <row r="5" spans="1:13" ht="13.5" x14ac:dyDescent="0.25">
      <c r="B5" s="54" t="s">
        <v>24</v>
      </c>
      <c r="C5" s="55" t="s">
        <v>25</v>
      </c>
      <c r="D5" s="56">
        <f>'Исходные данные'!B4</f>
        <v>36</v>
      </c>
    </row>
    <row r="6" spans="1:13" ht="13.5" x14ac:dyDescent="0.25">
      <c r="B6" s="54" t="s">
        <v>26</v>
      </c>
      <c r="C6" s="55" t="s">
        <v>27</v>
      </c>
      <c r="D6" s="57">
        <f>D5*'Исходные данные'!$B$3</f>
        <v>3600</v>
      </c>
      <c r="K6" s="181"/>
    </row>
    <row r="7" spans="1:13" ht="13.5" x14ac:dyDescent="0.25">
      <c r="B7" s="54" t="s">
        <v>28</v>
      </c>
      <c r="C7" s="55"/>
      <c r="D7" s="57">
        <f>INT(D6/'Исходные данные'!$B$13)</f>
        <v>1</v>
      </c>
      <c r="L7" s="182"/>
      <c r="M7" s="182"/>
    </row>
    <row r="8" spans="1:13" ht="13.5" x14ac:dyDescent="0.25">
      <c r="B8" s="58" t="s">
        <v>29</v>
      </c>
      <c r="C8" s="55"/>
      <c r="D8" s="56">
        <f>MOD(D6,'Исходные данные'!$B$13)</f>
        <v>0</v>
      </c>
      <c r="L8" s="182"/>
      <c r="M8" s="182"/>
    </row>
    <row r="9" spans="1:13" ht="13.5" x14ac:dyDescent="0.25">
      <c r="B9" s="55" t="s">
        <v>30</v>
      </c>
      <c r="C9" s="55"/>
      <c r="D9" s="56"/>
      <c r="L9" s="182"/>
      <c r="M9" s="182"/>
    </row>
    <row r="10" spans="1:13" ht="13.5" x14ac:dyDescent="0.25">
      <c r="B10" s="58" t="s">
        <v>31</v>
      </c>
      <c r="C10" s="55" t="s">
        <v>32</v>
      </c>
      <c r="D10" s="57">
        <v>1</v>
      </c>
      <c r="L10" s="182"/>
      <c r="M10" s="182"/>
    </row>
    <row r="11" spans="1:13" ht="13.5" x14ac:dyDescent="0.25">
      <c r="B11" s="54" t="s">
        <v>33</v>
      </c>
      <c r="C11" s="55" t="s">
        <v>32</v>
      </c>
      <c r="D11" s="59">
        <f>D7+INT(D8/(2*'Исходные данные'!$B$12))</f>
        <v>1</v>
      </c>
      <c r="L11" s="182"/>
      <c r="M11" s="182"/>
    </row>
    <row r="12" spans="1:13" ht="13.5" x14ac:dyDescent="0.25">
      <c r="B12" s="54" t="s">
        <v>34</v>
      </c>
      <c r="C12" s="55" t="s">
        <v>32</v>
      </c>
      <c r="D12" s="59">
        <f>D7*3+CEILING(D8/'Исходные данные'!$B$12,1)</f>
        <v>3</v>
      </c>
    </row>
    <row r="14" spans="1:13" ht="15.75" x14ac:dyDescent="0.3">
      <c r="A14" s="51" t="s">
        <v>35</v>
      </c>
      <c r="B14" s="51"/>
      <c r="C14" s="60"/>
      <c r="D14" s="60"/>
      <c r="E14" s="60"/>
      <c r="F14" s="60"/>
    </row>
    <row r="15" spans="1:13" ht="3.75" customHeight="1" x14ac:dyDescent="0.3">
      <c r="A15" s="61"/>
      <c r="C15" s="62"/>
      <c r="D15" s="63"/>
      <c r="E15" s="64"/>
      <c r="F15" s="62"/>
    </row>
    <row r="16" spans="1:13" ht="12" customHeight="1" x14ac:dyDescent="0.3">
      <c r="A16" s="65" t="s">
        <v>36</v>
      </c>
      <c r="B16" s="65"/>
      <c r="E16" s="64"/>
      <c r="F16" s="62"/>
    </row>
    <row r="17" spans="1:16" ht="27" customHeight="1" x14ac:dyDescent="0.25">
      <c r="A17" s="66"/>
      <c r="B17" s="57" t="s">
        <v>37</v>
      </c>
      <c r="C17" s="55" t="s">
        <v>38</v>
      </c>
      <c r="D17" s="57" t="s">
        <v>39</v>
      </c>
      <c r="E17" s="56" t="s">
        <v>40</v>
      </c>
      <c r="F17" s="183"/>
    </row>
    <row r="18" spans="1:16" ht="13.5" x14ac:dyDescent="0.25">
      <c r="A18" s="11" t="s">
        <v>41</v>
      </c>
      <c r="B18" s="54" t="s">
        <v>42</v>
      </c>
      <c r="C18" s="55" t="s">
        <v>43</v>
      </c>
      <c r="D18" s="57">
        <f>D10</f>
        <v>1</v>
      </c>
      <c r="E18" s="56">
        <f>'Исходные данные'!F4*D18</f>
        <v>45000</v>
      </c>
      <c r="F18" s="183"/>
    </row>
    <row r="19" spans="1:16" ht="14.25" customHeight="1" x14ac:dyDescent="0.25">
      <c r="A19" s="11" t="s">
        <v>44</v>
      </c>
      <c r="B19" s="40" t="s">
        <v>45</v>
      </c>
      <c r="C19" s="55" t="s">
        <v>43</v>
      </c>
      <c r="D19" s="57">
        <f>D11</f>
        <v>1</v>
      </c>
      <c r="E19" s="56">
        <f>'Исходные данные'!F5*D19</f>
        <v>30000</v>
      </c>
      <c r="F19" s="183"/>
      <c r="P19" s="184"/>
    </row>
    <row r="20" spans="1:16" ht="13.5" x14ac:dyDescent="0.25">
      <c r="A20" s="11" t="s">
        <v>46</v>
      </c>
      <c r="B20" s="40" t="s">
        <v>47</v>
      </c>
      <c r="C20" s="55" t="s">
        <v>43</v>
      </c>
      <c r="D20" s="57">
        <f>D12</f>
        <v>3</v>
      </c>
      <c r="E20" s="56">
        <f>'Исходные данные'!F6*D20</f>
        <v>60000</v>
      </c>
      <c r="F20" s="183"/>
    </row>
    <row r="21" spans="1:16" ht="18" customHeight="1" x14ac:dyDescent="0.25">
      <c r="A21" s="11" t="s">
        <v>48</v>
      </c>
      <c r="B21" s="40" t="s">
        <v>49</v>
      </c>
      <c r="C21" s="47" t="s">
        <v>50</v>
      </c>
      <c r="D21" s="67">
        <v>0.30199999999999999</v>
      </c>
      <c r="E21" s="56">
        <f>(E18+E19+E20)*D21</f>
        <v>40770</v>
      </c>
      <c r="F21" s="183"/>
    </row>
    <row r="22" spans="1:16" ht="27" x14ac:dyDescent="0.25">
      <c r="A22" s="11" t="s">
        <v>51</v>
      </c>
      <c r="B22" s="54" t="s">
        <v>52</v>
      </c>
      <c r="C22" s="55" t="s">
        <v>53</v>
      </c>
      <c r="D22" s="66">
        <f>CEILING((D18+D19+D20)*'Исходные данные'!F30,1)</f>
        <v>18</v>
      </c>
      <c r="E22" s="56">
        <f>D22*'Исходные данные'!$F$31</f>
        <v>27000</v>
      </c>
      <c r="F22" s="183"/>
    </row>
    <row r="23" spans="1:16" ht="44.25" customHeight="1" x14ac:dyDescent="0.25">
      <c r="A23" s="11" t="s">
        <v>54</v>
      </c>
      <c r="B23" s="45" t="s">
        <v>55</v>
      </c>
      <c r="C23" s="68" t="s">
        <v>56</v>
      </c>
      <c r="D23" s="67">
        <v>0.16700000000000001</v>
      </c>
      <c r="E23" s="56">
        <f>FLOOR('Исходные данные'!$F$32*D23,1)</f>
        <v>334</v>
      </c>
      <c r="F23" s="183"/>
    </row>
    <row r="24" spans="1:16" ht="20.25" customHeight="1" x14ac:dyDescent="0.25">
      <c r="A24" s="11" t="s">
        <v>57</v>
      </c>
      <c r="B24" s="45" t="s">
        <v>58</v>
      </c>
      <c r="C24" s="69"/>
      <c r="D24" s="67">
        <v>0.16700000000000001</v>
      </c>
      <c r="E24" s="56">
        <f>FLOOR('Исходные данные'!$F$33*D24,1)</f>
        <v>167</v>
      </c>
      <c r="F24" s="183"/>
    </row>
    <row r="25" spans="1:16" s="186" customFormat="1" ht="27.75" customHeight="1" x14ac:dyDescent="0.25">
      <c r="A25" s="12" t="s">
        <v>59</v>
      </c>
      <c r="B25" s="40" t="s">
        <v>60</v>
      </c>
      <c r="C25" s="70" t="s">
        <v>61</v>
      </c>
      <c r="D25" s="71">
        <v>2</v>
      </c>
      <c r="E25" s="72">
        <f>D5*'Исходные данные'!$F$40*$D$25</f>
        <v>5112</v>
      </c>
      <c r="F25" s="185"/>
    </row>
    <row r="26" spans="1:16" s="186" customFormat="1" ht="27" customHeight="1" x14ac:dyDescent="0.25">
      <c r="A26" s="11" t="s">
        <v>62</v>
      </c>
      <c r="B26" s="40" t="s">
        <v>63</v>
      </c>
      <c r="C26" s="68" t="s">
        <v>64</v>
      </c>
      <c r="D26" s="73">
        <v>0.01</v>
      </c>
      <c r="E26" s="72">
        <f>($E$18+$E$19+$E$20)*D26</f>
        <v>1350</v>
      </c>
      <c r="F26" s="185"/>
    </row>
    <row r="27" spans="1:16" s="186" customFormat="1" ht="44.25" customHeight="1" x14ac:dyDescent="0.25">
      <c r="A27" s="11" t="s">
        <v>65</v>
      </c>
      <c r="B27" s="40" t="s">
        <v>66</v>
      </c>
      <c r="C27" s="69"/>
      <c r="D27" s="73">
        <v>0.02</v>
      </c>
      <c r="E27" s="72">
        <f>($E$18+$E$19+$E$20)*D27</f>
        <v>2700</v>
      </c>
      <c r="F27" s="185"/>
    </row>
    <row r="28" spans="1:16" s="186" customFormat="1" ht="15.75" customHeight="1" x14ac:dyDescent="0.25">
      <c r="A28" s="11" t="s">
        <v>67</v>
      </c>
      <c r="B28" s="54" t="s">
        <v>68</v>
      </c>
      <c r="C28" s="69"/>
      <c r="D28" s="73">
        <v>0.01</v>
      </c>
      <c r="E28" s="72">
        <f t="shared" ref="E28:E34" si="0">($E$18+$E$19+$E$20)*D28</f>
        <v>1350</v>
      </c>
      <c r="F28" s="185"/>
    </row>
    <row r="29" spans="1:16" s="186" customFormat="1" ht="28.5" customHeight="1" x14ac:dyDescent="0.25">
      <c r="A29" s="11" t="s">
        <v>69</v>
      </c>
      <c r="B29" s="54" t="s">
        <v>70</v>
      </c>
      <c r="C29" s="69"/>
      <c r="D29" s="73">
        <v>2.5000000000000001E-2</v>
      </c>
      <c r="E29" s="72">
        <f t="shared" si="0"/>
        <v>3375</v>
      </c>
      <c r="F29" s="185"/>
    </row>
    <row r="30" spans="1:16" s="186" customFormat="1" ht="15" customHeight="1" x14ac:dyDescent="0.25">
      <c r="A30" s="11" t="s">
        <v>71</v>
      </c>
      <c r="B30" s="54" t="s">
        <v>72</v>
      </c>
      <c r="C30" s="69"/>
      <c r="D30" s="73">
        <v>0.01</v>
      </c>
      <c r="E30" s="72">
        <f t="shared" si="0"/>
        <v>1350</v>
      </c>
      <c r="F30" s="185"/>
    </row>
    <row r="31" spans="1:16" s="186" customFormat="1" ht="24.75" customHeight="1" x14ac:dyDescent="0.25">
      <c r="A31" s="11" t="s">
        <v>73</v>
      </c>
      <c r="B31" s="40" t="s">
        <v>74</v>
      </c>
      <c r="C31" s="69"/>
      <c r="D31" s="73">
        <v>5.0000000000000001E-3</v>
      </c>
      <c r="E31" s="72">
        <f t="shared" si="0"/>
        <v>675</v>
      </c>
      <c r="F31" s="185"/>
    </row>
    <row r="32" spans="1:16" s="186" customFormat="1" ht="27" customHeight="1" x14ac:dyDescent="0.25">
      <c r="A32" s="11" t="s">
        <v>75</v>
      </c>
      <c r="B32" s="40" t="s">
        <v>76</v>
      </c>
      <c r="C32" s="69"/>
      <c r="D32" s="73">
        <v>0.01</v>
      </c>
      <c r="E32" s="72">
        <f t="shared" si="0"/>
        <v>1350</v>
      </c>
      <c r="F32" s="185"/>
    </row>
    <row r="33" spans="1:16" s="186" customFormat="1" ht="15.75" customHeight="1" x14ac:dyDescent="0.25">
      <c r="A33" s="12" t="s">
        <v>77</v>
      </c>
      <c r="B33" s="40" t="s">
        <v>78</v>
      </c>
      <c r="C33" s="69"/>
      <c r="D33" s="73">
        <v>5.0000000000000001E-3</v>
      </c>
      <c r="E33" s="72">
        <f t="shared" si="0"/>
        <v>675</v>
      </c>
      <c r="F33" s="185"/>
    </row>
    <row r="34" spans="1:16" s="186" customFormat="1" ht="31.5" customHeight="1" x14ac:dyDescent="0.25">
      <c r="A34" s="11" t="s">
        <v>79</v>
      </c>
      <c r="B34" s="40" t="s">
        <v>80</v>
      </c>
      <c r="C34" s="74"/>
      <c r="D34" s="73">
        <v>5.0000000000000001E-3</v>
      </c>
      <c r="E34" s="72">
        <f t="shared" si="0"/>
        <v>675</v>
      </c>
      <c r="F34" s="185"/>
    </row>
    <row r="35" spans="1:16" ht="15" customHeight="1" x14ac:dyDescent="0.25">
      <c r="B35" s="75" t="s">
        <v>81</v>
      </c>
      <c r="C35" s="76"/>
      <c r="D35" s="77">
        <f>SUM(D26:D34)</f>
        <v>0.1</v>
      </c>
      <c r="E35" s="78">
        <f>SUM(E18:E34)</f>
        <v>221883</v>
      </c>
      <c r="F35" s="183"/>
    </row>
    <row r="36" spans="1:16" ht="2.25" customHeight="1" x14ac:dyDescent="0.25">
      <c r="B36" s="79"/>
      <c r="C36" s="80"/>
      <c r="E36" s="56"/>
      <c r="F36" s="183"/>
    </row>
    <row r="37" spans="1:16" ht="15" customHeight="1" x14ac:dyDescent="0.25">
      <c r="A37" s="49"/>
      <c r="B37" s="81" t="s">
        <v>82</v>
      </c>
      <c r="C37" s="82"/>
      <c r="D37" s="83"/>
      <c r="E37" s="84">
        <f>E35/D6</f>
        <v>61.634166666666665</v>
      </c>
    </row>
    <row r="38" spans="1:16" ht="2.25" customHeight="1" x14ac:dyDescent="0.25">
      <c r="B38" s="41"/>
      <c r="C38" s="55"/>
      <c r="D38" s="57"/>
      <c r="E38" s="56"/>
    </row>
    <row r="39" spans="1:16" ht="15.75" x14ac:dyDescent="0.3">
      <c r="A39" s="11" t="s">
        <v>83</v>
      </c>
      <c r="B39" s="85" t="s">
        <v>84</v>
      </c>
      <c r="C39" s="86"/>
      <c r="D39" s="86"/>
      <c r="E39" s="86"/>
      <c r="F39" s="62"/>
    </row>
    <row r="40" spans="1:16" ht="29.25" customHeight="1" x14ac:dyDescent="0.25">
      <c r="A40" s="11" t="s">
        <v>85</v>
      </c>
      <c r="B40" s="54" t="s">
        <v>86</v>
      </c>
      <c r="C40" s="59">
        <f>'Планирование персонала'!AK21</f>
        <v>1</v>
      </c>
      <c r="D40" s="87">
        <v>0.2</v>
      </c>
      <c r="E40" s="56">
        <f>'Исходные данные'!F12*C40*D40</f>
        <v>11000</v>
      </c>
    </row>
    <row r="41" spans="1:16" ht="25.5" customHeight="1" x14ac:dyDescent="0.25">
      <c r="A41" s="11" t="s">
        <v>87</v>
      </c>
      <c r="B41" s="40" t="s">
        <v>88</v>
      </c>
      <c r="C41" s="59">
        <f>'Планирование персонала'!AK25</f>
        <v>3</v>
      </c>
      <c r="D41" s="87">
        <v>0.2</v>
      </c>
      <c r="E41" s="56">
        <f>'Исходные данные'!F15*C41*D41</f>
        <v>9000</v>
      </c>
      <c r="P41" s="184"/>
    </row>
    <row r="42" spans="1:16" ht="27" x14ac:dyDescent="0.25">
      <c r="A42" s="11" t="s">
        <v>89</v>
      </c>
      <c r="B42" s="40" t="s">
        <v>90</v>
      </c>
      <c r="C42" s="59">
        <f>'Планирование персонала'!AK23</f>
        <v>2</v>
      </c>
      <c r="D42" s="87">
        <v>0.2</v>
      </c>
      <c r="E42" s="56">
        <f>'Исходные данные'!F14*C42*D42</f>
        <v>12000</v>
      </c>
    </row>
    <row r="43" spans="1:16" ht="27" x14ac:dyDescent="0.25">
      <c r="A43" s="11" t="s">
        <v>91</v>
      </c>
      <c r="B43" s="40" t="s">
        <v>92</v>
      </c>
      <c r="C43" s="88">
        <f>'Планирование персонала'!AK24</f>
        <v>1</v>
      </c>
      <c r="D43" s="89">
        <v>0.2</v>
      </c>
      <c r="E43" s="56">
        <f>'Исходные данные'!F16*C43*D43</f>
        <v>9000</v>
      </c>
    </row>
    <row r="44" spans="1:16" ht="27" x14ac:dyDescent="0.25">
      <c r="A44" s="11" t="s">
        <v>93</v>
      </c>
      <c r="B44" s="40" t="s">
        <v>94</v>
      </c>
      <c r="C44" s="88">
        <f>'Планирование персонала'!AK18</f>
        <v>2</v>
      </c>
      <c r="D44" s="89">
        <v>0.2</v>
      </c>
      <c r="E44" s="56">
        <f>'Исходные данные'!F21*C44*D44</f>
        <v>6000</v>
      </c>
    </row>
    <row r="45" spans="1:16" ht="21" customHeight="1" x14ac:dyDescent="0.25">
      <c r="A45" s="11" t="s">
        <v>95</v>
      </c>
      <c r="B45" s="40" t="s">
        <v>49</v>
      </c>
      <c r="C45" s="47" t="s">
        <v>50</v>
      </c>
      <c r="D45" s="67">
        <v>0.30199999999999999</v>
      </c>
      <c r="E45" s="90">
        <f>(E40+E41+E42+E43+E44)*D45</f>
        <v>14194</v>
      </c>
    </row>
    <row r="46" spans="1:16" ht="27" x14ac:dyDescent="0.25">
      <c r="A46" s="11" t="s">
        <v>96</v>
      </c>
      <c r="B46" s="91" t="s">
        <v>52</v>
      </c>
      <c r="C46" s="92" t="s">
        <v>53</v>
      </c>
      <c r="D46" s="57">
        <f>CEILING((C40+C42+C43+C44)*'Исходные данные'!F30,1)</f>
        <v>21</v>
      </c>
      <c r="E46" s="56">
        <f>D46*'Исходные данные'!$F$31</f>
        <v>31500</v>
      </c>
    </row>
    <row r="47" spans="1:16" ht="13.5" customHeight="1" x14ac:dyDescent="0.25">
      <c r="A47" s="11" t="s">
        <v>97</v>
      </c>
      <c r="B47" s="45" t="s">
        <v>55</v>
      </c>
      <c r="C47" s="93" t="s">
        <v>56</v>
      </c>
      <c r="D47" s="67">
        <v>0.16700000000000001</v>
      </c>
      <c r="E47" s="56">
        <f>FLOOR(D47*'Исходные данные'!F32,1)</f>
        <v>334</v>
      </c>
    </row>
    <row r="48" spans="1:16" ht="28.5" customHeight="1" x14ac:dyDescent="0.25">
      <c r="A48" s="11" t="s">
        <v>98</v>
      </c>
      <c r="B48" s="45" t="s">
        <v>58</v>
      </c>
      <c r="C48" s="94"/>
      <c r="D48" s="67">
        <v>0.16700000000000001</v>
      </c>
      <c r="E48" s="56">
        <f>FLOOR(D48*'Исходные данные'!F33,1)</f>
        <v>167</v>
      </c>
    </row>
    <row r="49" spans="1:5" ht="13.5" customHeight="1" x14ac:dyDescent="0.25">
      <c r="A49" s="11" t="s">
        <v>99</v>
      </c>
      <c r="B49" s="95" t="s">
        <v>100</v>
      </c>
      <c r="C49" s="96" t="s">
        <v>101</v>
      </c>
      <c r="D49" s="67">
        <v>1.4999999999999999E-2</v>
      </c>
      <c r="E49" s="56">
        <f t="shared" ref="E49:E56" si="1">($E$18+$E$19+$E$20)*D49</f>
        <v>2025</v>
      </c>
    </row>
    <row r="50" spans="1:5" ht="27" x14ac:dyDescent="0.25">
      <c r="A50" s="11" t="s">
        <v>102</v>
      </c>
      <c r="B50" s="54" t="s">
        <v>103</v>
      </c>
      <c r="C50" s="97"/>
      <c r="D50" s="67">
        <v>1.4999999999999999E-2</v>
      </c>
      <c r="E50" s="56">
        <f t="shared" si="1"/>
        <v>2025</v>
      </c>
    </row>
    <row r="51" spans="1:5" ht="13.5" x14ac:dyDescent="0.25">
      <c r="A51" s="11" t="s">
        <v>104</v>
      </c>
      <c r="B51" s="54" t="s">
        <v>78</v>
      </c>
      <c r="C51" s="97"/>
      <c r="D51" s="67">
        <v>0.01</v>
      </c>
      <c r="E51" s="56">
        <f t="shared" si="1"/>
        <v>1350</v>
      </c>
    </row>
    <row r="52" spans="1:5" ht="13.5" x14ac:dyDescent="0.25">
      <c r="A52" s="11" t="s">
        <v>105</v>
      </c>
      <c r="B52" s="54" t="s">
        <v>106</v>
      </c>
      <c r="C52" s="97"/>
      <c r="D52" s="67">
        <v>5.0000000000000001E-3</v>
      </c>
      <c r="E52" s="56">
        <f t="shared" si="1"/>
        <v>675</v>
      </c>
    </row>
    <row r="53" spans="1:5" ht="13.5" x14ac:dyDescent="0.25">
      <c r="A53" s="11" t="s">
        <v>107</v>
      </c>
      <c r="B53" s="54" t="s">
        <v>72</v>
      </c>
      <c r="C53" s="97"/>
      <c r="D53" s="67">
        <v>1.4999999999999999E-2</v>
      </c>
      <c r="E53" s="56">
        <f t="shared" si="1"/>
        <v>2025</v>
      </c>
    </row>
    <row r="54" spans="1:5" ht="27" x14ac:dyDescent="0.25">
      <c r="A54" s="11" t="s">
        <v>108</v>
      </c>
      <c r="B54" s="98" t="s">
        <v>74</v>
      </c>
      <c r="C54" s="97"/>
      <c r="D54" s="67">
        <v>5.0000000000000001E-3</v>
      </c>
      <c r="E54" s="56">
        <f t="shared" si="1"/>
        <v>675</v>
      </c>
    </row>
    <row r="55" spans="1:5" ht="29.25" customHeight="1" x14ac:dyDescent="0.25">
      <c r="A55" s="11" t="s">
        <v>109</v>
      </c>
      <c r="B55" s="40" t="s">
        <v>76</v>
      </c>
      <c r="C55" s="97"/>
      <c r="D55" s="67">
        <v>0.01</v>
      </c>
      <c r="E55" s="56">
        <f t="shared" si="1"/>
        <v>1350</v>
      </c>
    </row>
    <row r="56" spans="1:5" ht="20.25" customHeight="1" x14ac:dyDescent="0.25">
      <c r="A56" s="11" t="s">
        <v>110</v>
      </c>
      <c r="B56" s="54" t="s">
        <v>111</v>
      </c>
      <c r="C56" s="99"/>
      <c r="D56" s="67">
        <v>0.02</v>
      </c>
      <c r="E56" s="56">
        <f t="shared" si="1"/>
        <v>2700</v>
      </c>
    </row>
    <row r="57" spans="1:5" ht="15.75" customHeight="1" x14ac:dyDescent="0.25">
      <c r="B57" s="75" t="s">
        <v>112</v>
      </c>
      <c r="C57" s="100"/>
      <c r="D57" s="77">
        <f>SUM(D49:D56)</f>
        <v>9.5000000000000001E-2</v>
      </c>
      <c r="E57" s="78">
        <f>SUM(E40:E56)</f>
        <v>106020</v>
      </c>
    </row>
    <row r="58" spans="1:5" ht="3" customHeight="1" x14ac:dyDescent="0.25">
      <c r="B58" s="41"/>
      <c r="C58" s="55"/>
      <c r="D58" s="57"/>
      <c r="E58" s="56"/>
    </row>
    <row r="59" spans="1:5" ht="25.5" customHeight="1" x14ac:dyDescent="0.25">
      <c r="A59" s="11" t="s">
        <v>113</v>
      </c>
      <c r="B59" s="101" t="s">
        <v>114</v>
      </c>
      <c r="C59" s="1" t="s">
        <v>115</v>
      </c>
      <c r="D59" s="102">
        <v>0.16700000000000001</v>
      </c>
      <c r="E59" s="78">
        <f>(E18+E19+E20)*D59</f>
        <v>22545</v>
      </c>
    </row>
    <row r="60" spans="1:5" ht="2.25" customHeight="1" x14ac:dyDescent="0.25">
      <c r="B60" s="103"/>
      <c r="C60" s="104"/>
      <c r="D60" s="105"/>
      <c r="E60" s="106"/>
    </row>
    <row r="61" spans="1:5" ht="24.95" customHeight="1" x14ac:dyDescent="0.25">
      <c r="A61" s="11" t="s">
        <v>116</v>
      </c>
      <c r="B61" s="107" t="s">
        <v>117</v>
      </c>
      <c r="C61" s="108"/>
      <c r="D61" s="109"/>
      <c r="E61" s="78">
        <f>E35+E57+E59</f>
        <v>350448</v>
      </c>
    </row>
    <row r="62" spans="1:5" ht="3" customHeight="1" x14ac:dyDescent="0.25">
      <c r="B62" s="107"/>
      <c r="C62" s="110"/>
      <c r="D62" s="111"/>
    </row>
    <row r="63" spans="1:5" ht="24.95" customHeight="1" x14ac:dyDescent="0.25">
      <c r="A63" s="11" t="s">
        <v>118</v>
      </c>
      <c r="B63" s="112" t="s">
        <v>119</v>
      </c>
      <c r="C63" s="110"/>
      <c r="D63" s="113"/>
      <c r="E63" s="78">
        <f>E61/(100%-'Исходные данные'!$B$7)</f>
        <v>438060</v>
      </c>
    </row>
    <row r="64" spans="1:5" ht="3" customHeight="1" x14ac:dyDescent="0.25">
      <c r="B64" s="112"/>
      <c r="C64" s="110"/>
      <c r="D64" s="111"/>
      <c r="E64" s="56"/>
    </row>
    <row r="65" spans="1:5" ht="24.95" customHeight="1" x14ac:dyDescent="0.25">
      <c r="A65" s="11" t="s">
        <v>120</v>
      </c>
      <c r="B65" s="114" t="s">
        <v>121</v>
      </c>
      <c r="C65" s="115"/>
      <c r="D65" s="116"/>
      <c r="E65" s="78">
        <f>FLOOR(E63/D6,5)</f>
        <v>120</v>
      </c>
    </row>
    <row r="66" spans="1:5" ht="3.75" customHeight="1" x14ac:dyDescent="0.25">
      <c r="B66" s="114"/>
      <c r="C66" s="115"/>
      <c r="D66" s="117"/>
      <c r="E66" s="56"/>
    </row>
    <row r="67" spans="1:5" ht="24.95" customHeight="1" x14ac:dyDescent="0.25">
      <c r="A67" s="11" t="s">
        <v>122</v>
      </c>
      <c r="B67" s="118" t="s">
        <v>123</v>
      </c>
      <c r="C67" s="118"/>
      <c r="D67" s="118"/>
      <c r="E67" s="78">
        <f>CEILING((E65*'Исходные данные'!$B$3),5)</f>
        <v>12000</v>
      </c>
    </row>
    <row r="71" spans="1:5" ht="11.25" customHeight="1" x14ac:dyDescent="0.25"/>
    <row r="72" spans="1:5" ht="12.75" customHeight="1" x14ac:dyDescent="0.25"/>
  </sheetData>
  <sheetProtection password="CA41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workbookViewId="0">
      <pane xSplit="1" ySplit="4" topLeftCell="B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RowHeight="13.5" x14ac:dyDescent="0.25"/>
  <cols>
    <col min="1" max="1" width="34.28515625" style="122" customWidth="1"/>
    <col min="2" max="2" width="10.85546875" style="11" customWidth="1"/>
    <col min="3" max="3" width="11" style="11" customWidth="1"/>
    <col min="4" max="6" width="9" style="11" customWidth="1"/>
    <col min="7" max="7" width="9.85546875" style="11" customWidth="1"/>
    <col min="8" max="8" width="10.5703125" style="11" customWidth="1"/>
    <col min="9" max="9" width="9" style="11" customWidth="1"/>
    <col min="10" max="10" width="10.140625" style="11" customWidth="1"/>
    <col min="11" max="11" width="10.7109375" style="11" customWidth="1"/>
    <col min="12" max="12" width="9" style="11" customWidth="1"/>
    <col min="13" max="13" width="12.140625" style="11" customWidth="1"/>
    <col min="14" max="14" width="13.5703125" style="11" customWidth="1"/>
    <col min="15" max="15" width="12" style="11" customWidth="1"/>
    <col min="16" max="16" width="12.140625" style="11" customWidth="1"/>
    <col min="17" max="17" width="12.7109375" style="11" customWidth="1"/>
    <col min="18" max="18" width="12.140625" style="11" customWidth="1"/>
    <col min="19" max="19" width="11.28515625" style="11" customWidth="1"/>
    <col min="20" max="37" width="11.28515625" style="11" bestFit="1" customWidth="1"/>
    <col min="38" max="16384" width="9.140625" style="48"/>
  </cols>
  <sheetData>
    <row r="1" spans="1:60" x14ac:dyDescent="0.25">
      <c r="A1" s="187"/>
    </row>
    <row r="2" spans="1:60" x14ac:dyDescent="0.25">
      <c r="A2" s="230" t="s">
        <v>124</v>
      </c>
      <c r="B2" s="230"/>
      <c r="C2" s="230"/>
      <c r="D2" s="230"/>
      <c r="E2" s="230"/>
      <c r="F2" s="230"/>
      <c r="G2" s="230"/>
      <c r="H2" s="230"/>
      <c r="I2" s="230"/>
      <c r="J2" s="188"/>
    </row>
    <row r="3" spans="1:60" ht="27" x14ac:dyDescent="0.25">
      <c r="A3" s="49" t="s">
        <v>125</v>
      </c>
      <c r="B3" s="57" t="s">
        <v>126</v>
      </c>
      <c r="C3" s="57" t="s">
        <v>127</v>
      </c>
      <c r="D3" s="57" t="s">
        <v>128</v>
      </c>
      <c r="E3" s="57" t="s">
        <v>129</v>
      </c>
      <c r="F3" s="57" t="s">
        <v>130</v>
      </c>
      <c r="G3" s="57" t="s">
        <v>131</v>
      </c>
      <c r="H3" s="57" t="s">
        <v>132</v>
      </c>
      <c r="I3" s="57" t="s">
        <v>133</v>
      </c>
      <c r="J3" s="57" t="s">
        <v>134</v>
      </c>
      <c r="K3" s="57" t="s">
        <v>135</v>
      </c>
      <c r="L3" s="57" t="s">
        <v>136</v>
      </c>
      <c r="M3" s="57" t="s">
        <v>137</v>
      </c>
      <c r="N3" s="57" t="s">
        <v>138</v>
      </c>
      <c r="O3" s="14" t="s">
        <v>139</v>
      </c>
      <c r="P3" s="57" t="s">
        <v>140</v>
      </c>
      <c r="Q3" s="57" t="s">
        <v>141</v>
      </c>
      <c r="R3" s="57" t="s">
        <v>142</v>
      </c>
      <c r="S3" s="57" t="s">
        <v>143</v>
      </c>
      <c r="T3" s="57" t="s">
        <v>144</v>
      </c>
      <c r="U3" s="57" t="s">
        <v>145</v>
      </c>
      <c r="V3" s="57" t="s">
        <v>146</v>
      </c>
      <c r="W3" s="57" t="s">
        <v>147</v>
      </c>
      <c r="X3" s="57" t="s">
        <v>148</v>
      </c>
      <c r="Y3" s="57" t="s">
        <v>149</v>
      </c>
      <c r="Z3" s="57" t="s">
        <v>150</v>
      </c>
      <c r="AA3" s="57" t="s">
        <v>151</v>
      </c>
      <c r="AB3" s="57" t="s">
        <v>152</v>
      </c>
      <c r="AC3" s="57" t="s">
        <v>153</v>
      </c>
      <c r="AD3" s="57" t="s">
        <v>154</v>
      </c>
      <c r="AE3" s="57" t="s">
        <v>155</v>
      </c>
      <c r="AF3" s="57" t="s">
        <v>156</v>
      </c>
      <c r="AG3" s="57" t="s">
        <v>157</v>
      </c>
      <c r="AH3" s="57" t="s">
        <v>158</v>
      </c>
      <c r="AI3" s="57" t="s">
        <v>159</v>
      </c>
      <c r="AJ3" s="57" t="s">
        <v>160</v>
      </c>
      <c r="AK3" s="57" t="s">
        <v>161</v>
      </c>
    </row>
    <row r="4" spans="1:60" s="189" customFormat="1" x14ac:dyDescent="0.25">
      <c r="A4" s="119"/>
      <c r="B4" s="1" t="s">
        <v>162</v>
      </c>
      <c r="C4" s="1" t="s">
        <v>163</v>
      </c>
      <c r="D4" s="1" t="s">
        <v>164</v>
      </c>
      <c r="E4" s="1" t="s">
        <v>165</v>
      </c>
      <c r="F4" s="1" t="s">
        <v>166</v>
      </c>
      <c r="G4" s="1" t="s">
        <v>167</v>
      </c>
      <c r="H4" s="1" t="s">
        <v>168</v>
      </c>
      <c r="I4" s="1" t="s">
        <v>169</v>
      </c>
      <c r="J4" s="1" t="s">
        <v>170</v>
      </c>
      <c r="K4" s="1" t="s">
        <v>171</v>
      </c>
      <c r="L4" s="1" t="s">
        <v>172</v>
      </c>
      <c r="M4" s="1" t="s">
        <v>173</v>
      </c>
      <c r="N4" s="1" t="s">
        <v>162</v>
      </c>
      <c r="O4" s="1" t="s">
        <v>163</v>
      </c>
      <c r="P4" s="1" t="s">
        <v>164</v>
      </c>
      <c r="Q4" s="1" t="s">
        <v>165</v>
      </c>
      <c r="R4" s="1" t="s">
        <v>166</v>
      </c>
      <c r="S4" s="1" t="s">
        <v>167</v>
      </c>
      <c r="T4" s="1" t="s">
        <v>168</v>
      </c>
      <c r="U4" s="1" t="s">
        <v>169</v>
      </c>
      <c r="V4" s="1" t="s">
        <v>170</v>
      </c>
      <c r="W4" s="1" t="s">
        <v>171</v>
      </c>
      <c r="X4" s="1" t="s">
        <v>172</v>
      </c>
      <c r="Y4" s="1" t="s">
        <v>173</v>
      </c>
      <c r="Z4" s="1" t="s">
        <v>162</v>
      </c>
      <c r="AA4" s="1" t="s">
        <v>163</v>
      </c>
      <c r="AB4" s="1" t="s">
        <v>164</v>
      </c>
      <c r="AC4" s="1" t="s">
        <v>165</v>
      </c>
      <c r="AD4" s="1" t="s">
        <v>166</v>
      </c>
      <c r="AE4" s="1" t="s">
        <v>167</v>
      </c>
      <c r="AF4" s="1" t="s">
        <v>168</v>
      </c>
      <c r="AG4" s="1" t="s">
        <v>169</v>
      </c>
      <c r="AH4" s="1" t="s">
        <v>170</v>
      </c>
      <c r="AI4" s="1" t="s">
        <v>171</v>
      </c>
      <c r="AJ4" s="1" t="s">
        <v>172</v>
      </c>
      <c r="AK4" s="1" t="s">
        <v>173</v>
      </c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</row>
    <row r="5" spans="1:60" x14ac:dyDescent="0.25">
      <c r="A5" s="103" t="s">
        <v>174</v>
      </c>
      <c r="B5" s="190">
        <v>0</v>
      </c>
      <c r="C5" s="190">
        <v>9</v>
      </c>
      <c r="D5" s="190">
        <v>3</v>
      </c>
      <c r="E5" s="190">
        <v>3</v>
      </c>
      <c r="F5" s="190">
        <v>3</v>
      </c>
      <c r="G5" s="190">
        <v>3</v>
      </c>
      <c r="H5" s="190">
        <v>5</v>
      </c>
      <c r="I5" s="190">
        <v>5</v>
      </c>
      <c r="J5" s="190">
        <v>5</v>
      </c>
      <c r="K5" s="190">
        <v>10</v>
      </c>
      <c r="L5" s="190">
        <v>10</v>
      </c>
      <c r="M5" s="190">
        <v>10</v>
      </c>
      <c r="N5" s="190">
        <v>5</v>
      </c>
      <c r="O5" s="190">
        <v>10</v>
      </c>
      <c r="P5" s="190">
        <v>10</v>
      </c>
      <c r="Q5" s="190">
        <v>5</v>
      </c>
      <c r="R5" s="190">
        <v>5</v>
      </c>
      <c r="S5" s="190">
        <v>1</v>
      </c>
      <c r="T5" s="190">
        <v>1</v>
      </c>
      <c r="U5" s="190">
        <v>5</v>
      </c>
      <c r="V5" s="190">
        <v>5</v>
      </c>
      <c r="W5" s="190">
        <v>10</v>
      </c>
      <c r="X5" s="190">
        <v>10</v>
      </c>
      <c r="Y5" s="190">
        <v>10</v>
      </c>
      <c r="Z5" s="190">
        <v>5</v>
      </c>
      <c r="AA5" s="190">
        <v>10</v>
      </c>
      <c r="AB5" s="190">
        <v>10</v>
      </c>
      <c r="AC5" s="190">
        <v>5</v>
      </c>
      <c r="AD5" s="190">
        <v>5</v>
      </c>
      <c r="AE5" s="190">
        <v>1</v>
      </c>
      <c r="AF5" s="190">
        <v>1</v>
      </c>
      <c r="AG5" s="190">
        <v>5</v>
      </c>
      <c r="AH5" s="190">
        <v>5</v>
      </c>
      <c r="AI5" s="190">
        <v>10</v>
      </c>
      <c r="AJ5" s="190">
        <v>10</v>
      </c>
      <c r="AK5" s="190">
        <v>10</v>
      </c>
    </row>
    <row r="6" spans="1:60" ht="27" x14ac:dyDescent="0.25">
      <c r="A6" s="112" t="s">
        <v>175</v>
      </c>
      <c r="B6" s="35">
        <f>B5</f>
        <v>0</v>
      </c>
      <c r="C6" s="35">
        <f>C5+B6</f>
        <v>9</v>
      </c>
      <c r="D6" s="35">
        <f t="shared" ref="D6:AK6" si="0">C6+D5</f>
        <v>12</v>
      </c>
      <c r="E6" s="35">
        <f t="shared" si="0"/>
        <v>15</v>
      </c>
      <c r="F6" s="35">
        <f t="shared" si="0"/>
        <v>18</v>
      </c>
      <c r="G6" s="35">
        <f t="shared" si="0"/>
        <v>21</v>
      </c>
      <c r="H6" s="35">
        <f t="shared" si="0"/>
        <v>26</v>
      </c>
      <c r="I6" s="35">
        <f t="shared" si="0"/>
        <v>31</v>
      </c>
      <c r="J6" s="35">
        <f t="shared" si="0"/>
        <v>36</v>
      </c>
      <c r="K6" s="35">
        <f t="shared" si="0"/>
        <v>46</v>
      </c>
      <c r="L6" s="35">
        <f t="shared" si="0"/>
        <v>56</v>
      </c>
      <c r="M6" s="35">
        <f t="shared" si="0"/>
        <v>66</v>
      </c>
      <c r="N6" s="35">
        <f t="shared" si="0"/>
        <v>71</v>
      </c>
      <c r="O6" s="35">
        <f t="shared" si="0"/>
        <v>81</v>
      </c>
      <c r="P6" s="35">
        <f t="shared" si="0"/>
        <v>91</v>
      </c>
      <c r="Q6" s="35">
        <f t="shared" si="0"/>
        <v>96</v>
      </c>
      <c r="R6" s="35">
        <f t="shared" si="0"/>
        <v>101</v>
      </c>
      <c r="S6" s="35">
        <f t="shared" si="0"/>
        <v>102</v>
      </c>
      <c r="T6" s="35">
        <f t="shared" si="0"/>
        <v>103</v>
      </c>
      <c r="U6" s="35">
        <f t="shared" si="0"/>
        <v>108</v>
      </c>
      <c r="V6" s="35">
        <f t="shared" si="0"/>
        <v>113</v>
      </c>
      <c r="W6" s="35">
        <f t="shared" si="0"/>
        <v>123</v>
      </c>
      <c r="X6" s="35">
        <f t="shared" si="0"/>
        <v>133</v>
      </c>
      <c r="Y6" s="35">
        <f t="shared" si="0"/>
        <v>143</v>
      </c>
      <c r="Z6" s="35">
        <f t="shared" si="0"/>
        <v>148</v>
      </c>
      <c r="AA6" s="35">
        <f t="shared" si="0"/>
        <v>158</v>
      </c>
      <c r="AB6" s="35">
        <f t="shared" si="0"/>
        <v>168</v>
      </c>
      <c r="AC6" s="35">
        <f t="shared" si="0"/>
        <v>173</v>
      </c>
      <c r="AD6" s="35">
        <f t="shared" si="0"/>
        <v>178</v>
      </c>
      <c r="AE6" s="35">
        <f t="shared" si="0"/>
        <v>179</v>
      </c>
      <c r="AF6" s="35">
        <f t="shared" si="0"/>
        <v>180</v>
      </c>
      <c r="AG6" s="35">
        <f t="shared" si="0"/>
        <v>185</v>
      </c>
      <c r="AH6" s="35">
        <f t="shared" si="0"/>
        <v>190</v>
      </c>
      <c r="AI6" s="35">
        <f t="shared" si="0"/>
        <v>200</v>
      </c>
      <c r="AJ6" s="35">
        <f t="shared" si="0"/>
        <v>210</v>
      </c>
      <c r="AK6" s="35">
        <f t="shared" si="0"/>
        <v>220</v>
      </c>
    </row>
    <row r="7" spans="1:60" ht="27" x14ac:dyDescent="0.25">
      <c r="A7" s="103" t="s">
        <v>176</v>
      </c>
      <c r="B7" s="35">
        <f>ROUND(B6*'Исходные данные'!$F$25,0)</f>
        <v>0</v>
      </c>
      <c r="C7" s="35">
        <f>ROUND(C6*'Исходные данные'!$F$25,0)-B7</f>
        <v>1</v>
      </c>
      <c r="D7" s="35">
        <f>ROUND(D6*'Исходные данные'!$F$25,0)-SUM($B$7:C7)</f>
        <v>0</v>
      </c>
      <c r="E7" s="35">
        <f>ROUND(E6*'Исходные данные'!$F$25,0)-SUM($B$7:D7)</f>
        <v>0</v>
      </c>
      <c r="F7" s="35">
        <f>ROUND(F6*'Исходные данные'!$F$25,0)-SUM($B$7:E7)</f>
        <v>0</v>
      </c>
      <c r="G7" s="35">
        <f>ROUND(G6*'Исходные данные'!$F$25,0)-SUM($B$7:F7)</f>
        <v>0</v>
      </c>
      <c r="H7" s="35">
        <f>ROUND(H6*'Исходные данные'!$F$25,0)-SUM($B$7:G7)</f>
        <v>1</v>
      </c>
      <c r="I7" s="35">
        <f>ROUND(I6*'Исходные данные'!$F$25,0)-SUM($B$7:H7)</f>
        <v>0</v>
      </c>
      <c r="J7" s="35">
        <f>ROUND(J6*'Исходные данные'!$F$25,0)-SUM($B$7:I7)</f>
        <v>0</v>
      </c>
      <c r="K7" s="35">
        <f>ROUND(K6*'Исходные данные'!$F$25,0)-SUM($B$7:J7)</f>
        <v>1</v>
      </c>
      <c r="L7" s="35">
        <f>ROUND(L6*'Исходные данные'!$F$25,0)-SUM($B$7:K7)</f>
        <v>0</v>
      </c>
      <c r="M7" s="35">
        <f>ROUND(M6*'Исходные данные'!$F$25,0)-SUM($B$7:L7)</f>
        <v>1</v>
      </c>
      <c r="N7" s="35">
        <f>ROUND(N6*'Исходные данные'!$F$25,0)-SUM($B$7:M7)</f>
        <v>0</v>
      </c>
      <c r="O7" s="35">
        <f>ROUND(O6*'Исходные данные'!$F$25,0)-SUM($B$7:N7)</f>
        <v>1</v>
      </c>
      <c r="P7" s="35">
        <f>ROUND(P6*'Исходные данные'!$F$25,0)-SUM($B$7:O7)</f>
        <v>0</v>
      </c>
      <c r="Q7" s="35">
        <f>ROUND(Q6*'Исходные данные'!$F$25,0)-SUM($B$7:P7)</f>
        <v>1</v>
      </c>
      <c r="R7" s="35">
        <f>ROUND(R6*'Исходные данные'!$F$25,0)-SUM($B$7:Q7)</f>
        <v>0</v>
      </c>
      <c r="S7" s="35">
        <f>ROUND(S6*'Исходные данные'!$F$25,0)-SUM($B$7:R7)</f>
        <v>0</v>
      </c>
      <c r="T7" s="35">
        <f>ROUND(T6*'Исходные данные'!$F$25,0)-SUM($B$7:S7)</f>
        <v>0</v>
      </c>
      <c r="U7" s="35">
        <f>ROUND(U6*'Исходные данные'!$F$25,0)-SUM($B$7:T7)</f>
        <v>0</v>
      </c>
      <c r="V7" s="35">
        <f>ROUND(V6*'Исходные данные'!$F$25,0)-SUM($B$7:U7)</f>
        <v>1</v>
      </c>
      <c r="W7" s="35">
        <f>ROUND(W6*'Исходные данные'!$F$25,0)-SUM($B$7:V7)</f>
        <v>0</v>
      </c>
      <c r="X7" s="35">
        <f>ROUND(X6*'Исходные данные'!$F$25,0)-SUM($B$7:W7)</f>
        <v>1</v>
      </c>
      <c r="Y7" s="35">
        <f>ROUND(Y6*'Исходные данные'!$F$25,0)-SUM($B$7:X7)</f>
        <v>1</v>
      </c>
      <c r="Z7" s="35">
        <f>ROUND(Z6*'Исходные данные'!$F$25,0)-SUM($B$7:Y7)</f>
        <v>0</v>
      </c>
      <c r="AA7" s="35">
        <f>ROUND(AA6*'Исходные данные'!$F$25,0)-SUM($B$7:Z7)</f>
        <v>0</v>
      </c>
      <c r="AB7" s="35">
        <f>ROUND(AB6*'Исходные данные'!$F$25,0)-SUM($B$7:AA7)</f>
        <v>1</v>
      </c>
      <c r="AC7" s="35">
        <f>ROUND(AC6*'Исходные данные'!$F$25,0)-SUM($B$7:AB7)</f>
        <v>0</v>
      </c>
      <c r="AD7" s="35">
        <f>ROUND(AD6*'Исходные данные'!$F$25,0)-SUM($B$7:AC7)</f>
        <v>1</v>
      </c>
      <c r="AE7" s="35">
        <f>ROUND(AE6*'Исходные данные'!$F$25,0)-SUM($B$7:AD7)</f>
        <v>0</v>
      </c>
      <c r="AF7" s="35">
        <f>ROUND(AF6*'Исходные данные'!$F$25,0)-SUM($B$7:AE7)</f>
        <v>0</v>
      </c>
      <c r="AG7" s="35">
        <f>ROUND(AG6*'Исходные данные'!$F$25,0)-SUM($B$7:AF7)</f>
        <v>0</v>
      </c>
      <c r="AH7" s="35">
        <f>ROUND(AH6*'Исходные данные'!$F$25,0)-SUM($B$7:AG7)</f>
        <v>0</v>
      </c>
      <c r="AI7" s="35">
        <f>ROUND(AI6*'Исходные данные'!$F$25,0)-SUM($B$7:AH7)</f>
        <v>1</v>
      </c>
      <c r="AJ7" s="35">
        <f>ROUND(AJ6*'Исходные данные'!$F$25,0)-SUM($B$7:AI7)</f>
        <v>1</v>
      </c>
      <c r="AK7" s="35">
        <f>ROUND(AK6*'Исходные данные'!$F$25,0)-SUM($B$7:AJ7)</f>
        <v>0</v>
      </c>
    </row>
    <row r="8" spans="1:60" ht="27" x14ac:dyDescent="0.25">
      <c r="A8" s="103" t="s">
        <v>177</v>
      </c>
      <c r="B8" s="35">
        <f>B7</f>
        <v>0</v>
      </c>
      <c r="C8" s="35">
        <f t="shared" ref="C8:AK8" si="1">C7+B8</f>
        <v>1</v>
      </c>
      <c r="D8" s="35">
        <f t="shared" si="1"/>
        <v>1</v>
      </c>
      <c r="E8" s="35">
        <f t="shared" si="1"/>
        <v>1</v>
      </c>
      <c r="F8" s="35">
        <f t="shared" si="1"/>
        <v>1</v>
      </c>
      <c r="G8" s="35">
        <f t="shared" si="1"/>
        <v>1</v>
      </c>
      <c r="H8" s="35">
        <f t="shared" si="1"/>
        <v>2</v>
      </c>
      <c r="I8" s="35">
        <f t="shared" si="1"/>
        <v>2</v>
      </c>
      <c r="J8" s="35">
        <f t="shared" si="1"/>
        <v>2</v>
      </c>
      <c r="K8" s="35">
        <f t="shared" si="1"/>
        <v>3</v>
      </c>
      <c r="L8" s="35">
        <f t="shared" si="1"/>
        <v>3</v>
      </c>
      <c r="M8" s="35">
        <f t="shared" si="1"/>
        <v>4</v>
      </c>
      <c r="N8" s="35">
        <f t="shared" si="1"/>
        <v>4</v>
      </c>
      <c r="O8" s="35">
        <f t="shared" si="1"/>
        <v>5</v>
      </c>
      <c r="P8" s="35">
        <f t="shared" si="1"/>
        <v>5</v>
      </c>
      <c r="Q8" s="35">
        <f t="shared" si="1"/>
        <v>6</v>
      </c>
      <c r="R8" s="35">
        <f t="shared" si="1"/>
        <v>6</v>
      </c>
      <c r="S8" s="35">
        <f t="shared" si="1"/>
        <v>6</v>
      </c>
      <c r="T8" s="35">
        <f t="shared" si="1"/>
        <v>6</v>
      </c>
      <c r="U8" s="35">
        <f t="shared" si="1"/>
        <v>6</v>
      </c>
      <c r="V8" s="35">
        <f t="shared" si="1"/>
        <v>7</v>
      </c>
      <c r="W8" s="35">
        <f t="shared" si="1"/>
        <v>7</v>
      </c>
      <c r="X8" s="35">
        <f t="shared" si="1"/>
        <v>8</v>
      </c>
      <c r="Y8" s="35">
        <f t="shared" si="1"/>
        <v>9</v>
      </c>
      <c r="Z8" s="35">
        <f t="shared" si="1"/>
        <v>9</v>
      </c>
      <c r="AA8" s="35">
        <f t="shared" si="1"/>
        <v>9</v>
      </c>
      <c r="AB8" s="35">
        <f t="shared" si="1"/>
        <v>10</v>
      </c>
      <c r="AC8" s="35">
        <f t="shared" si="1"/>
        <v>10</v>
      </c>
      <c r="AD8" s="35">
        <f t="shared" si="1"/>
        <v>11</v>
      </c>
      <c r="AE8" s="35">
        <f t="shared" si="1"/>
        <v>11</v>
      </c>
      <c r="AF8" s="35">
        <f t="shared" si="1"/>
        <v>11</v>
      </c>
      <c r="AG8" s="35">
        <f t="shared" si="1"/>
        <v>11</v>
      </c>
      <c r="AH8" s="35">
        <f t="shared" si="1"/>
        <v>11</v>
      </c>
      <c r="AI8" s="35">
        <f t="shared" si="1"/>
        <v>12</v>
      </c>
      <c r="AJ8" s="35">
        <f t="shared" si="1"/>
        <v>13</v>
      </c>
      <c r="AK8" s="35">
        <f t="shared" si="1"/>
        <v>13</v>
      </c>
    </row>
    <row r="9" spans="1:60" ht="40.5" x14ac:dyDescent="0.25">
      <c r="A9" s="103" t="s">
        <v>178</v>
      </c>
      <c r="B9" s="35">
        <f>B6-B8</f>
        <v>0</v>
      </c>
      <c r="C9" s="35">
        <f>C6-C8</f>
        <v>8</v>
      </c>
      <c r="D9" s="35">
        <f t="shared" ref="D9:AK9" si="2">D6-D8</f>
        <v>11</v>
      </c>
      <c r="E9" s="35">
        <f t="shared" si="2"/>
        <v>14</v>
      </c>
      <c r="F9" s="35">
        <f t="shared" si="2"/>
        <v>17</v>
      </c>
      <c r="G9" s="35">
        <f t="shared" si="2"/>
        <v>20</v>
      </c>
      <c r="H9" s="35">
        <f t="shared" si="2"/>
        <v>24</v>
      </c>
      <c r="I9" s="35">
        <f t="shared" si="2"/>
        <v>29</v>
      </c>
      <c r="J9" s="35">
        <f t="shared" si="2"/>
        <v>34</v>
      </c>
      <c r="K9" s="35">
        <f t="shared" si="2"/>
        <v>43</v>
      </c>
      <c r="L9" s="35">
        <f t="shared" si="2"/>
        <v>53</v>
      </c>
      <c r="M9" s="35">
        <f t="shared" si="2"/>
        <v>62</v>
      </c>
      <c r="N9" s="35">
        <f t="shared" si="2"/>
        <v>67</v>
      </c>
      <c r="O9" s="35">
        <f t="shared" si="2"/>
        <v>76</v>
      </c>
      <c r="P9" s="35">
        <f t="shared" si="2"/>
        <v>86</v>
      </c>
      <c r="Q9" s="35">
        <f t="shared" si="2"/>
        <v>90</v>
      </c>
      <c r="R9" s="35">
        <f t="shared" si="2"/>
        <v>95</v>
      </c>
      <c r="S9" s="35">
        <f t="shared" si="2"/>
        <v>96</v>
      </c>
      <c r="T9" s="35">
        <f t="shared" si="2"/>
        <v>97</v>
      </c>
      <c r="U9" s="35">
        <f t="shared" si="2"/>
        <v>102</v>
      </c>
      <c r="V9" s="35">
        <f t="shared" si="2"/>
        <v>106</v>
      </c>
      <c r="W9" s="35">
        <f t="shared" si="2"/>
        <v>116</v>
      </c>
      <c r="X9" s="35">
        <f t="shared" si="2"/>
        <v>125</v>
      </c>
      <c r="Y9" s="35">
        <f t="shared" si="2"/>
        <v>134</v>
      </c>
      <c r="Z9" s="35">
        <f t="shared" si="2"/>
        <v>139</v>
      </c>
      <c r="AA9" s="35">
        <f t="shared" si="2"/>
        <v>149</v>
      </c>
      <c r="AB9" s="35">
        <f t="shared" si="2"/>
        <v>158</v>
      </c>
      <c r="AC9" s="35">
        <f t="shared" si="2"/>
        <v>163</v>
      </c>
      <c r="AD9" s="35">
        <f t="shared" si="2"/>
        <v>167</v>
      </c>
      <c r="AE9" s="35">
        <f t="shared" si="2"/>
        <v>168</v>
      </c>
      <c r="AF9" s="35">
        <f t="shared" si="2"/>
        <v>169</v>
      </c>
      <c r="AG9" s="35">
        <f t="shared" si="2"/>
        <v>174</v>
      </c>
      <c r="AH9" s="35">
        <f t="shared" si="2"/>
        <v>179</v>
      </c>
      <c r="AI9" s="35">
        <f t="shared" si="2"/>
        <v>188</v>
      </c>
      <c r="AJ9" s="35">
        <f t="shared" si="2"/>
        <v>197</v>
      </c>
      <c r="AK9" s="35">
        <f t="shared" si="2"/>
        <v>207</v>
      </c>
    </row>
    <row r="10" spans="1:60" x14ac:dyDescent="0.25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60" x14ac:dyDescent="0.25">
      <c r="A11" s="34" t="s">
        <v>179</v>
      </c>
      <c r="B11" s="120">
        <f>B9*'Расчет среднего чека'!$E$67</f>
        <v>0</v>
      </c>
      <c r="C11" s="120">
        <f>C9*'Расчет среднего чека'!$E$67</f>
        <v>96000</v>
      </c>
      <c r="D11" s="120">
        <f>D9*'Расчет среднего чека'!$E$67</f>
        <v>132000</v>
      </c>
      <c r="E11" s="120">
        <f>E9*'Расчет среднего чека'!$E$67</f>
        <v>168000</v>
      </c>
      <c r="F11" s="120">
        <f>F9*'Расчет среднего чека'!$E$67</f>
        <v>204000</v>
      </c>
      <c r="G11" s="120">
        <f>G9*'Расчет среднего чека'!$E$67</f>
        <v>240000</v>
      </c>
      <c r="H11" s="120">
        <f>H9*'Расчет среднего чека'!$E$67</f>
        <v>288000</v>
      </c>
      <c r="I11" s="120">
        <f>I9*'Расчет среднего чека'!$E$67</f>
        <v>348000</v>
      </c>
      <c r="J11" s="120">
        <f>J9*'Расчет среднего чека'!$E$67</f>
        <v>408000</v>
      </c>
      <c r="K11" s="120">
        <f>K9*'Расчет среднего чека'!$E$67</f>
        <v>516000</v>
      </c>
      <c r="L11" s="120">
        <f>L9*'Расчет среднего чека'!$E$67</f>
        <v>636000</v>
      </c>
      <c r="M11" s="120">
        <f>M9*'Расчет среднего чека'!$E$67</f>
        <v>744000</v>
      </c>
      <c r="N11" s="120">
        <f>N9*'Расчет среднего чека'!$E$67</f>
        <v>804000</v>
      </c>
      <c r="O11" s="120">
        <f>O9*'Расчет среднего чека'!$E$67</f>
        <v>912000</v>
      </c>
      <c r="P11" s="120">
        <f>P9*'Расчет среднего чека'!$E$67</f>
        <v>1032000</v>
      </c>
      <c r="Q11" s="120">
        <f>Q9*'Расчет среднего чека'!$E$67</f>
        <v>1080000</v>
      </c>
      <c r="R11" s="120">
        <f>R9*'Расчет среднего чека'!$E$67</f>
        <v>1140000</v>
      </c>
      <c r="S11" s="120">
        <f>S9*'Расчет среднего чека'!$E$67</f>
        <v>1152000</v>
      </c>
      <c r="T11" s="120">
        <f>T9*'Расчет среднего чека'!$E$67</f>
        <v>1164000</v>
      </c>
      <c r="U11" s="120">
        <f>U9*'Расчет среднего чека'!$E$67</f>
        <v>1224000</v>
      </c>
      <c r="V11" s="120">
        <f>V9*'Расчет среднего чека'!$E$67</f>
        <v>1272000</v>
      </c>
      <c r="W11" s="120">
        <f>W9*'Расчет среднего чека'!$E$67</f>
        <v>1392000</v>
      </c>
      <c r="X11" s="120">
        <f>X9*'Расчет среднего чека'!$E$67</f>
        <v>1500000</v>
      </c>
      <c r="Y11" s="120">
        <f>Y9*'Расчет среднего чека'!$E$67</f>
        <v>1608000</v>
      </c>
      <c r="Z11" s="120">
        <f>Z9*'Расчет среднего чека'!$E$67</f>
        <v>1668000</v>
      </c>
      <c r="AA11" s="120">
        <f>AA9*'Расчет среднего чека'!$E$67</f>
        <v>1788000</v>
      </c>
      <c r="AB11" s="120">
        <f>AB9*'Расчет среднего чека'!$E$67</f>
        <v>1896000</v>
      </c>
      <c r="AC11" s="120">
        <f>AC9*'Расчет среднего чека'!$E$67</f>
        <v>1956000</v>
      </c>
      <c r="AD11" s="120">
        <f>AD9*'Расчет среднего чека'!$E$67</f>
        <v>2004000</v>
      </c>
      <c r="AE11" s="120">
        <f>AE9*'Расчет среднего чека'!$E$67</f>
        <v>2016000</v>
      </c>
      <c r="AF11" s="120">
        <f>AF9*'Расчет среднего чека'!$E$67</f>
        <v>2028000</v>
      </c>
      <c r="AG11" s="120">
        <f>AG9*'Расчет среднего чека'!$E$67</f>
        <v>2088000</v>
      </c>
      <c r="AH11" s="120">
        <f>AH9*'Расчет среднего чека'!$E$67</f>
        <v>2148000</v>
      </c>
      <c r="AI11" s="120">
        <f>AI9*'Расчет среднего чека'!$E$67</f>
        <v>2256000</v>
      </c>
      <c r="AJ11" s="120">
        <f>AJ9*'Расчет среднего чека'!$E$67</f>
        <v>2364000</v>
      </c>
      <c r="AK11" s="120">
        <f>AK9*'Расчет среднего чека'!$E$67</f>
        <v>2484000</v>
      </c>
    </row>
    <row r="12" spans="1:60" ht="40.5" x14ac:dyDescent="0.25">
      <c r="A12" s="103" t="s">
        <v>180</v>
      </c>
      <c r="B12" s="120"/>
      <c r="C12" s="120">
        <f>IF((C9-C5)&lt;0,0,(C9-C5))*'Расчет среднего чека'!$E$67*'Исходные данные'!$F$26</f>
        <v>0</v>
      </c>
      <c r="D12" s="120">
        <f>IF((D9-D5)&lt;0,0,(D9-D5))*'Расчет среднего чека'!$E$67*'Исходные данные'!$F$26</f>
        <v>9600</v>
      </c>
      <c r="E12" s="120">
        <f>IF((E9-E5)&lt;0,0,(E9-E5))*'Расчет среднего чека'!$E$67*'Исходные данные'!$F$26</f>
        <v>13200</v>
      </c>
      <c r="F12" s="120">
        <f>IF((F9-F5)&lt;0,0,(F9-F5))*'Расчет среднего чека'!$E$67*'Исходные данные'!$F$26</f>
        <v>16800</v>
      </c>
      <c r="G12" s="120">
        <f>IF((G9-G5)&lt;0,0,(G9-G5))*'Расчет среднего чека'!$E$67*'Исходные данные'!$F$26</f>
        <v>20400</v>
      </c>
      <c r="H12" s="120">
        <f>IF((H9-H5)&lt;0,0,(H9-H5))*'Расчет среднего чека'!$E$67*'Исходные данные'!$F$26</f>
        <v>22800</v>
      </c>
      <c r="I12" s="120">
        <f>IF((I9-I5)&lt;0,0,(I9-I5))*'Расчет среднего чека'!$E$67*'Исходные данные'!$F$26</f>
        <v>28800</v>
      </c>
      <c r="J12" s="120">
        <f>IF((J9-J5)&lt;0,0,(J9-J5))*'Расчет среднего чека'!$E$67*'Исходные данные'!$F$26</f>
        <v>34800</v>
      </c>
      <c r="K12" s="120">
        <f>IF((K9-K5)&lt;0,0,(K9-K5))*'Расчет среднего чека'!$E$67*'Исходные данные'!$F$26</f>
        <v>39600</v>
      </c>
      <c r="L12" s="120">
        <f>IF((L9-L5)&lt;0,0,(L9-L5))*'Расчет среднего чека'!$E$67*'Исходные данные'!$F$26</f>
        <v>51600</v>
      </c>
      <c r="M12" s="120">
        <f>IF((M9-M5)&lt;0,0,(M9-M5))*'Расчет среднего чека'!$E$67*'Исходные данные'!$F$26</f>
        <v>62400</v>
      </c>
      <c r="N12" s="120">
        <f>IF((N9-N5)&lt;0,0,(N9-N5))*'Расчет среднего чека'!$E$67*'Исходные данные'!$F$26</f>
        <v>74400</v>
      </c>
      <c r="O12" s="120">
        <f>IF((O9-O5)&lt;0,0,(O9-O5))*'Расчет среднего чека'!$E$67*'Исходные данные'!$F$26</f>
        <v>79200</v>
      </c>
      <c r="P12" s="120">
        <f>IF((P9-P5)&lt;0,0,(P9-P5))*'Расчет среднего чека'!$E$67*'Исходные данные'!$F$26</f>
        <v>91200</v>
      </c>
      <c r="Q12" s="120">
        <f>IF((Q9-Q5)&lt;0,0,(Q9-Q5))*'Расчет среднего чека'!$E$67*'Исходные данные'!$F$26</f>
        <v>102000</v>
      </c>
      <c r="R12" s="120">
        <f>IF((R9-R5)&lt;0,0,(R9-R5))*'Расчет среднего чека'!$E$67*'Исходные данные'!$F$26</f>
        <v>108000</v>
      </c>
      <c r="S12" s="120">
        <f>IF((S9-S5)&lt;0,0,(S9-S5))*'Расчет среднего чека'!$E$67*'Исходные данные'!$F$26</f>
        <v>114000</v>
      </c>
      <c r="T12" s="120">
        <f>IF((T9-T5)&lt;0,0,(T9-T5))*'Расчет среднего чека'!$E$67*'Исходные данные'!$F$26</f>
        <v>115200</v>
      </c>
      <c r="U12" s="120">
        <f>IF((U9-U5)&lt;0,0,(U9-U5))*'Расчет среднего чека'!$E$67*'Исходные данные'!$F$26</f>
        <v>116400</v>
      </c>
      <c r="V12" s="120">
        <f>IF((V9-V5)&lt;0,0,(V9-V5))*'Расчет среднего чека'!$E$67*'Исходные данные'!$F$26</f>
        <v>121200</v>
      </c>
      <c r="W12" s="120">
        <f>IF((W9-W5)&lt;0,0,(W9-W5))*'Расчет среднего чека'!$E$67*'Исходные данные'!$F$26</f>
        <v>127200</v>
      </c>
      <c r="X12" s="120">
        <f>IF((X9-X5)&lt;0,0,(X9-X5))*'Расчет среднего чека'!$E$67*'Исходные данные'!$F$26</f>
        <v>138000</v>
      </c>
      <c r="Y12" s="120">
        <f>IF((Y9-Y5)&lt;0,0,(Y9-Y5))*'Расчет среднего чека'!$E$67*'Исходные данные'!$F$26</f>
        <v>148800</v>
      </c>
      <c r="Z12" s="120">
        <f>IF((Z9-Z5)&lt;0,0,(Z9-Z5))*'Расчет среднего чека'!$E$67*'Исходные данные'!$F$26</f>
        <v>160800</v>
      </c>
      <c r="AA12" s="120">
        <f>IF((AA9-AA5)&lt;0,0,(AA9-AA5))*'Расчет среднего чека'!$E$67*'Исходные данные'!$F$26</f>
        <v>166800</v>
      </c>
      <c r="AB12" s="120">
        <f>IF((AB9-AB5)&lt;0,0,(AB9-AB5))*'Расчет среднего чека'!$E$67*'Исходные данные'!$F$26</f>
        <v>177600</v>
      </c>
      <c r="AC12" s="120">
        <f>IF((AC9-AC5)&lt;0,0,(AC9-AC5))*'Расчет среднего чека'!$E$67*'Исходные данные'!$F$26</f>
        <v>189600</v>
      </c>
      <c r="AD12" s="120">
        <f>IF((AD9-AD5)&lt;0,0,(AD9-AD5))*'Расчет среднего чека'!$E$67*'Исходные данные'!$F$26</f>
        <v>194400</v>
      </c>
      <c r="AE12" s="120">
        <f>IF((AE9-AE5)&lt;0,0,(AE9-AE5))*'Расчет среднего чека'!$E$67*'Исходные данные'!$F$26</f>
        <v>200400</v>
      </c>
      <c r="AF12" s="120">
        <f>IF((AF9-AF5)&lt;0,0,(AF9-AF5))*'Расчет среднего чека'!$E$67*'Исходные данные'!$F$26</f>
        <v>201600</v>
      </c>
      <c r="AG12" s="120">
        <f>IF((AG9-AG5)&lt;0,0,(AG9-AG5))*'Расчет среднего чека'!$E$67*'Исходные данные'!$F$26</f>
        <v>202800</v>
      </c>
      <c r="AH12" s="120">
        <f>IF((AH9-AH5)&lt;0,0,(AH9-AH5))*'Расчет среднего чека'!$E$67*'Исходные данные'!$F$26</f>
        <v>208800</v>
      </c>
      <c r="AI12" s="120">
        <f>IF((AI9-AI5)&lt;0,0,(AI9-AI5))*'Расчет среднего чека'!$E$67*'Исходные данные'!$F$26</f>
        <v>213600</v>
      </c>
      <c r="AJ12" s="120">
        <f>IF((AJ9-AJ5)&lt;0,0,(AJ9-AJ5))*'Расчет среднего чека'!$E$67*'Исходные данные'!$F$26</f>
        <v>224400</v>
      </c>
      <c r="AK12" s="120">
        <f>IF((AK9-AK5)&lt;0,0,(AK9-AK5))*'Расчет среднего чека'!$E$67*'Исходные данные'!$F$26</f>
        <v>236400</v>
      </c>
    </row>
    <row r="13" spans="1:60" s="10" customFormat="1" ht="27" customHeight="1" x14ac:dyDescent="0.25">
      <c r="A13" s="121" t="s">
        <v>181</v>
      </c>
      <c r="B13" s="120">
        <f>SUM(B11:B12)</f>
        <v>0</v>
      </c>
      <c r="C13" s="120">
        <f t="shared" ref="C13:AK13" si="3">SUM(C11:C12)</f>
        <v>96000</v>
      </c>
      <c r="D13" s="120">
        <f t="shared" si="3"/>
        <v>141600</v>
      </c>
      <c r="E13" s="120">
        <f t="shared" si="3"/>
        <v>181200</v>
      </c>
      <c r="F13" s="120">
        <f t="shared" si="3"/>
        <v>220800</v>
      </c>
      <c r="G13" s="120">
        <f t="shared" si="3"/>
        <v>260400</v>
      </c>
      <c r="H13" s="120">
        <f t="shared" si="3"/>
        <v>310800</v>
      </c>
      <c r="I13" s="120">
        <f t="shared" si="3"/>
        <v>376800</v>
      </c>
      <c r="J13" s="120">
        <f t="shared" si="3"/>
        <v>442800</v>
      </c>
      <c r="K13" s="120">
        <f t="shared" si="3"/>
        <v>555600</v>
      </c>
      <c r="L13" s="120">
        <f t="shared" si="3"/>
        <v>687600</v>
      </c>
      <c r="M13" s="120">
        <f t="shared" si="3"/>
        <v>806400</v>
      </c>
      <c r="N13" s="120">
        <f t="shared" si="3"/>
        <v>878400</v>
      </c>
      <c r="O13" s="120">
        <f t="shared" si="3"/>
        <v>991200</v>
      </c>
      <c r="P13" s="120">
        <f t="shared" si="3"/>
        <v>1123200</v>
      </c>
      <c r="Q13" s="120">
        <f t="shared" si="3"/>
        <v>1182000</v>
      </c>
      <c r="R13" s="120">
        <f t="shared" si="3"/>
        <v>1248000</v>
      </c>
      <c r="S13" s="120">
        <f t="shared" si="3"/>
        <v>1266000</v>
      </c>
      <c r="T13" s="120">
        <f t="shared" si="3"/>
        <v>1279200</v>
      </c>
      <c r="U13" s="120">
        <f t="shared" si="3"/>
        <v>1340400</v>
      </c>
      <c r="V13" s="120">
        <f t="shared" si="3"/>
        <v>1393200</v>
      </c>
      <c r="W13" s="120">
        <f t="shared" si="3"/>
        <v>1519200</v>
      </c>
      <c r="X13" s="120">
        <f t="shared" si="3"/>
        <v>1638000</v>
      </c>
      <c r="Y13" s="120">
        <f t="shared" si="3"/>
        <v>1756800</v>
      </c>
      <c r="Z13" s="120">
        <f t="shared" si="3"/>
        <v>1828800</v>
      </c>
      <c r="AA13" s="120">
        <f t="shared" si="3"/>
        <v>1954800</v>
      </c>
      <c r="AB13" s="120">
        <f t="shared" si="3"/>
        <v>2073600</v>
      </c>
      <c r="AC13" s="120">
        <f t="shared" si="3"/>
        <v>2145600</v>
      </c>
      <c r="AD13" s="120">
        <f t="shared" si="3"/>
        <v>2198400</v>
      </c>
      <c r="AE13" s="120">
        <f t="shared" si="3"/>
        <v>2216400</v>
      </c>
      <c r="AF13" s="120">
        <f t="shared" si="3"/>
        <v>2229600</v>
      </c>
      <c r="AG13" s="120">
        <f t="shared" si="3"/>
        <v>2290800</v>
      </c>
      <c r="AH13" s="120">
        <f t="shared" si="3"/>
        <v>2356800</v>
      </c>
      <c r="AI13" s="120">
        <f t="shared" si="3"/>
        <v>2469600</v>
      </c>
      <c r="AJ13" s="120">
        <f t="shared" si="3"/>
        <v>2588400</v>
      </c>
      <c r="AK13" s="120">
        <f t="shared" si="3"/>
        <v>2720400</v>
      </c>
    </row>
    <row r="16" spans="1:60" x14ac:dyDescent="0.25">
      <c r="A16" s="234" t="s">
        <v>182</v>
      </c>
      <c r="B16" s="234"/>
      <c r="C16" s="234"/>
      <c r="D16" s="234"/>
      <c r="E16" s="234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s="48" customFormat="1" x14ac:dyDescent="0.25">
      <c r="A17" s="235" t="s">
        <v>183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</row>
    <row r="18" spans="1:14" s="48" customFormat="1" x14ac:dyDescent="0.25">
      <c r="A18" s="235" t="s">
        <v>184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</row>
    <row r="19" spans="1:14" s="48" customFormat="1" x14ac:dyDescent="0.25">
      <c r="A19" s="192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48" customFormat="1" x14ac:dyDescent="0.25">
      <c r="A20" s="235" t="s">
        <v>185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</row>
  </sheetData>
  <sheetProtection password="CA41" sheet="1" objects="1" scenarios="1"/>
  <protectedRanges>
    <protectedRange sqref="B5:AK5" name="Диапазон1"/>
  </protectedRanges>
  <mergeCells count="5">
    <mergeCell ref="A2:I2"/>
    <mergeCell ref="A16:E16"/>
    <mergeCell ref="A17:N17"/>
    <mergeCell ref="A18:N18"/>
    <mergeCell ref="A20:N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60"/>
  <sheetViews>
    <sheetView zoomScaleNormal="100" workbookViewId="0">
      <pane xSplit="1" ySplit="3" topLeftCell="R37" activePane="bottomRight" state="frozen"/>
      <selection activeCell="E23" sqref="E23"/>
      <selection pane="topRight" activeCell="E23" sqref="E23"/>
      <selection pane="bottomLeft" activeCell="E23" sqref="E23"/>
      <selection pane="bottomRight" activeCell="Z52" sqref="Z52"/>
    </sheetView>
  </sheetViews>
  <sheetFormatPr defaultRowHeight="13.5" x14ac:dyDescent="0.25"/>
  <cols>
    <col min="1" max="1" width="32.7109375" style="122" customWidth="1"/>
    <col min="2" max="2" width="11" style="123" customWidth="1"/>
    <col min="3" max="3" width="10.7109375" style="123" customWidth="1"/>
    <col min="4" max="4" width="10.42578125" style="123" customWidth="1"/>
    <col min="5" max="5" width="10.7109375" style="123" customWidth="1"/>
    <col min="6" max="6" width="11.140625" style="123" customWidth="1"/>
    <col min="7" max="7" width="10.85546875" style="123" customWidth="1"/>
    <col min="8" max="8" width="11.140625" style="123" customWidth="1"/>
    <col min="9" max="9" width="10.85546875" style="124" customWidth="1"/>
    <col min="10" max="10" width="10.7109375" style="123" customWidth="1"/>
    <col min="11" max="11" width="11.5703125" style="123" customWidth="1"/>
    <col min="12" max="12" width="11.140625" style="123" customWidth="1"/>
    <col min="13" max="13" width="11.5703125" style="123" customWidth="1"/>
    <col min="14" max="14" width="11.140625" style="123" customWidth="1"/>
    <col min="15" max="15" width="11.42578125" style="123" customWidth="1"/>
    <col min="16" max="17" width="11.5703125" style="123" customWidth="1"/>
    <col min="18" max="18" width="11.28515625" style="124" customWidth="1"/>
    <col min="19" max="19" width="11.140625" style="123" customWidth="1"/>
    <col min="20" max="20" width="11.28515625" style="123" customWidth="1"/>
    <col min="21" max="25" width="12.42578125" style="123" bestFit="1" customWidth="1"/>
    <col min="26" max="37" width="11.28515625" style="123" bestFit="1" customWidth="1"/>
    <col min="38" max="16384" width="9.140625" style="48"/>
  </cols>
  <sheetData>
    <row r="2" spans="1:37" ht="42" customHeight="1" x14ac:dyDescent="0.25">
      <c r="A2" s="236" t="s">
        <v>186</v>
      </c>
      <c r="B2" s="125" t="s">
        <v>126</v>
      </c>
      <c r="C2" s="125" t="s">
        <v>127</v>
      </c>
      <c r="D2" s="125" t="s">
        <v>128</v>
      </c>
      <c r="E2" s="125" t="s">
        <v>129</v>
      </c>
      <c r="F2" s="125" t="s">
        <v>130</v>
      </c>
      <c r="G2" s="125" t="s">
        <v>131</v>
      </c>
      <c r="H2" s="125" t="s">
        <v>132</v>
      </c>
      <c r="I2" s="125" t="s">
        <v>133</v>
      </c>
      <c r="J2" s="125" t="s">
        <v>134</v>
      </c>
      <c r="K2" s="125" t="s">
        <v>135</v>
      </c>
      <c r="L2" s="125" t="s">
        <v>136</v>
      </c>
      <c r="M2" s="125" t="s">
        <v>137</v>
      </c>
      <c r="N2" s="125" t="s">
        <v>138</v>
      </c>
      <c r="O2" s="125" t="s">
        <v>139</v>
      </c>
      <c r="P2" s="125" t="s">
        <v>140</v>
      </c>
      <c r="Q2" s="125" t="s">
        <v>141</v>
      </c>
      <c r="R2" s="125" t="s">
        <v>142</v>
      </c>
      <c r="S2" s="125" t="s">
        <v>143</v>
      </c>
      <c r="T2" s="125" t="s">
        <v>144</v>
      </c>
      <c r="U2" s="125" t="s">
        <v>145</v>
      </c>
      <c r="V2" s="125" t="s">
        <v>146</v>
      </c>
      <c r="W2" s="125" t="s">
        <v>147</v>
      </c>
      <c r="X2" s="125" t="s">
        <v>148</v>
      </c>
      <c r="Y2" s="125" t="s">
        <v>149</v>
      </c>
      <c r="Z2" s="125" t="s">
        <v>150</v>
      </c>
      <c r="AA2" s="125" t="s">
        <v>151</v>
      </c>
      <c r="AB2" s="125" t="s">
        <v>152</v>
      </c>
      <c r="AC2" s="125" t="s">
        <v>153</v>
      </c>
      <c r="AD2" s="125" t="s">
        <v>154</v>
      </c>
      <c r="AE2" s="125" t="s">
        <v>155</v>
      </c>
      <c r="AF2" s="125" t="s">
        <v>156</v>
      </c>
      <c r="AG2" s="125" t="s">
        <v>157</v>
      </c>
      <c r="AH2" s="125" t="s">
        <v>158</v>
      </c>
      <c r="AI2" s="125" t="s">
        <v>159</v>
      </c>
      <c r="AJ2" s="125" t="s">
        <v>160</v>
      </c>
      <c r="AK2" s="125" t="s">
        <v>161</v>
      </c>
    </row>
    <row r="3" spans="1:37" ht="13.5" customHeight="1" x14ac:dyDescent="0.25">
      <c r="A3" s="237"/>
      <c r="B3" s="120">
        <f>'Планирование выручки'!B9</f>
        <v>0</v>
      </c>
      <c r="C3" s="120">
        <f>'Планирование выручки'!C9</f>
        <v>8</v>
      </c>
      <c r="D3" s="120">
        <f>'Планирование выручки'!D9</f>
        <v>11</v>
      </c>
      <c r="E3" s="120">
        <f>'Планирование выручки'!E9</f>
        <v>14</v>
      </c>
      <c r="F3" s="120">
        <f>'Планирование выручки'!F9</f>
        <v>17</v>
      </c>
      <c r="G3" s="120">
        <f>'Планирование выручки'!G9</f>
        <v>20</v>
      </c>
      <c r="H3" s="120">
        <f>'Планирование выручки'!H9</f>
        <v>24</v>
      </c>
      <c r="I3" s="120">
        <f>'Планирование выручки'!I9</f>
        <v>29</v>
      </c>
      <c r="J3" s="120">
        <f>'Планирование выручки'!J9</f>
        <v>34</v>
      </c>
      <c r="K3" s="120">
        <f>'Планирование выручки'!K9</f>
        <v>43</v>
      </c>
      <c r="L3" s="120">
        <f>'Планирование выручки'!L9</f>
        <v>53</v>
      </c>
      <c r="M3" s="120">
        <f>'Планирование выручки'!M9</f>
        <v>62</v>
      </c>
      <c r="N3" s="120">
        <f>'Планирование выручки'!N9</f>
        <v>67</v>
      </c>
      <c r="O3" s="120">
        <f>'Планирование выручки'!O9</f>
        <v>76</v>
      </c>
      <c r="P3" s="120">
        <f>'Планирование выручки'!P9</f>
        <v>86</v>
      </c>
      <c r="Q3" s="120">
        <f>'Планирование выручки'!Q9</f>
        <v>90</v>
      </c>
      <c r="R3" s="120">
        <f>'Планирование выручки'!R9</f>
        <v>95</v>
      </c>
      <c r="S3" s="120">
        <f>'Планирование выручки'!S9</f>
        <v>96</v>
      </c>
      <c r="T3" s="120">
        <f>'Планирование выручки'!T9</f>
        <v>97</v>
      </c>
      <c r="U3" s="120">
        <f>'Планирование выручки'!U9</f>
        <v>102</v>
      </c>
      <c r="V3" s="120">
        <f>'Планирование выручки'!V9</f>
        <v>106</v>
      </c>
      <c r="W3" s="120">
        <f>'Планирование выручки'!W9</f>
        <v>116</v>
      </c>
      <c r="X3" s="120">
        <f>'Планирование выручки'!X9</f>
        <v>125</v>
      </c>
      <c r="Y3" s="120">
        <f>'Планирование выручки'!Y9</f>
        <v>134</v>
      </c>
      <c r="Z3" s="120">
        <f>'Планирование выручки'!Z9</f>
        <v>139</v>
      </c>
      <c r="AA3" s="120">
        <f>'Планирование выручки'!AA9</f>
        <v>149</v>
      </c>
      <c r="AB3" s="120">
        <f>'Планирование выручки'!AB9</f>
        <v>158</v>
      </c>
      <c r="AC3" s="120">
        <f>'Планирование выручки'!AC9</f>
        <v>163</v>
      </c>
      <c r="AD3" s="120">
        <f>'Планирование выручки'!AD9</f>
        <v>167</v>
      </c>
      <c r="AE3" s="120">
        <f>'Планирование выручки'!AE9</f>
        <v>168</v>
      </c>
      <c r="AF3" s="120">
        <f>'Планирование выручки'!AF9</f>
        <v>169</v>
      </c>
      <c r="AG3" s="120">
        <f>'Планирование выручки'!AG9</f>
        <v>174</v>
      </c>
      <c r="AH3" s="120">
        <f>'Планирование выручки'!AH9</f>
        <v>179</v>
      </c>
      <c r="AI3" s="120">
        <f>'Планирование выручки'!AI9</f>
        <v>188</v>
      </c>
      <c r="AJ3" s="120">
        <f>'Планирование выручки'!AJ9</f>
        <v>197</v>
      </c>
      <c r="AK3" s="120">
        <f>'Планирование выручки'!AK9</f>
        <v>207</v>
      </c>
    </row>
    <row r="4" spans="1:37" s="183" customFormat="1" ht="23.25" customHeight="1" x14ac:dyDescent="0.25">
      <c r="A4" s="228" t="s">
        <v>355</v>
      </c>
      <c r="B4" s="228"/>
      <c r="C4" s="228"/>
      <c r="D4" s="228"/>
      <c r="E4" s="228"/>
      <c r="F4" s="228"/>
      <c r="G4" s="228"/>
      <c r="H4" s="228"/>
      <c r="I4" s="228"/>
      <c r="J4" s="126"/>
      <c r="K4" s="126"/>
      <c r="L4" s="126"/>
      <c r="M4" s="126"/>
      <c r="N4" s="126"/>
      <c r="O4" s="126"/>
      <c r="P4" s="126"/>
      <c r="Q4" s="126"/>
      <c r="R4" s="127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</row>
    <row r="5" spans="1:37" s="183" customFormat="1" ht="19.5" customHeight="1" x14ac:dyDescent="0.25">
      <c r="A5" s="167" t="s">
        <v>187</v>
      </c>
      <c r="B5" s="167"/>
      <c r="C5" s="167"/>
      <c r="D5" s="167"/>
      <c r="E5" s="167"/>
      <c r="F5" s="167"/>
      <c r="G5" s="167"/>
      <c r="H5" s="167"/>
      <c r="I5" s="128"/>
      <c r="J5" s="126"/>
      <c r="K5" s="126"/>
      <c r="L5" s="126"/>
      <c r="M5" s="126"/>
      <c r="N5" s="126"/>
      <c r="O5" s="126"/>
      <c r="P5" s="126"/>
      <c r="Q5" s="126"/>
      <c r="R5" s="127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40.5" customHeight="1" x14ac:dyDescent="0.25">
      <c r="A6" s="54" t="s">
        <v>188</v>
      </c>
      <c r="B6" s="129">
        <f>'Планирование выручки'!B9*'Исходные данные'!$B$3</f>
        <v>0</v>
      </c>
      <c r="C6" s="129">
        <f>'Планирование выручки'!C9*'Исходные данные'!$B$3</f>
        <v>800</v>
      </c>
      <c r="D6" s="129">
        <f>'Планирование выручки'!D9*'Исходные данные'!$B$3</f>
        <v>1100</v>
      </c>
      <c r="E6" s="129">
        <f>'Планирование выручки'!E9*'Исходные данные'!$B$3</f>
        <v>1400</v>
      </c>
      <c r="F6" s="129">
        <f>'Планирование выручки'!F9*'Исходные данные'!$B$3</f>
        <v>1700</v>
      </c>
      <c r="G6" s="129">
        <f>'Планирование выручки'!G9*'Исходные данные'!$B$3</f>
        <v>2000</v>
      </c>
      <c r="H6" s="129">
        <f>'Планирование выручки'!H9*'Исходные данные'!$B$3</f>
        <v>2400</v>
      </c>
      <c r="I6" s="129">
        <f>'Планирование выручки'!I9*'Исходные данные'!$B$3</f>
        <v>2900</v>
      </c>
      <c r="J6" s="129">
        <f>'Планирование выручки'!J9*'Исходные данные'!$B$3</f>
        <v>3400</v>
      </c>
      <c r="K6" s="129">
        <f>'Планирование выручки'!K9*'Исходные данные'!$B$3</f>
        <v>4300</v>
      </c>
      <c r="L6" s="129">
        <f>'Планирование выручки'!L9*'Исходные данные'!$B$3</f>
        <v>5300</v>
      </c>
      <c r="M6" s="129">
        <f>'Планирование выручки'!M9*'Исходные данные'!$B$3</f>
        <v>6200</v>
      </c>
      <c r="N6" s="129">
        <f>'Планирование выручки'!N9*'Исходные данные'!$B$3</f>
        <v>6700</v>
      </c>
      <c r="O6" s="129">
        <f>'Планирование выручки'!O9*'Исходные данные'!$B$3</f>
        <v>7600</v>
      </c>
      <c r="P6" s="129">
        <f>'Планирование выручки'!P9*'Исходные данные'!$B$3</f>
        <v>8600</v>
      </c>
      <c r="Q6" s="129">
        <f>'Планирование выручки'!Q9*'Исходные данные'!$B$3</f>
        <v>9000</v>
      </c>
      <c r="R6" s="129">
        <f>'Планирование выручки'!R9*'Исходные данные'!$B$3</f>
        <v>9500</v>
      </c>
      <c r="S6" s="129">
        <f>'Планирование выручки'!S9*'Исходные данные'!$B$3</f>
        <v>9600</v>
      </c>
      <c r="T6" s="129">
        <f>'Планирование выручки'!T9*'Исходные данные'!$B$3</f>
        <v>9700</v>
      </c>
      <c r="U6" s="129">
        <f>'Планирование выручки'!U9*'Исходные данные'!$B$3</f>
        <v>10200</v>
      </c>
      <c r="V6" s="129">
        <f>'Планирование выручки'!V9*'Исходные данные'!$B$3</f>
        <v>10600</v>
      </c>
      <c r="W6" s="129">
        <f>'Планирование выручки'!W9*'Исходные данные'!$B$3</f>
        <v>11600</v>
      </c>
      <c r="X6" s="129">
        <f>'Планирование выручки'!X9*'Исходные данные'!$B$3</f>
        <v>12500</v>
      </c>
      <c r="Y6" s="129">
        <f>'Планирование выручки'!Y9*'Исходные данные'!$B$3</f>
        <v>13400</v>
      </c>
      <c r="Z6" s="129">
        <f>'Планирование выручки'!Z9*'Исходные данные'!$B$3</f>
        <v>13900</v>
      </c>
      <c r="AA6" s="129">
        <f>'Планирование выручки'!AA9*'Исходные данные'!$B$3</f>
        <v>14900</v>
      </c>
      <c r="AB6" s="129">
        <f>'Планирование выручки'!AB9*'Исходные данные'!$B$3</f>
        <v>15800</v>
      </c>
      <c r="AC6" s="129">
        <f>'Планирование выручки'!AC9*'Исходные данные'!$B$3</f>
        <v>16300</v>
      </c>
      <c r="AD6" s="129">
        <f>'Планирование выручки'!AD9*'Исходные данные'!$B$3</f>
        <v>16700</v>
      </c>
      <c r="AE6" s="129">
        <f>'Планирование выручки'!AE9*'Исходные данные'!$B$3</f>
        <v>16800</v>
      </c>
      <c r="AF6" s="129">
        <f>'Планирование выручки'!AF9*'Исходные данные'!$B$3</f>
        <v>16900</v>
      </c>
      <c r="AG6" s="129">
        <f>'Планирование выручки'!AG9*'Исходные данные'!$B$3</f>
        <v>17400</v>
      </c>
      <c r="AH6" s="129">
        <f>'Планирование выручки'!AH9*'Исходные данные'!$B$3</f>
        <v>17900</v>
      </c>
      <c r="AI6" s="129">
        <f>'Планирование выручки'!AI9*'Исходные данные'!$B$3</f>
        <v>18800</v>
      </c>
      <c r="AJ6" s="129">
        <f>'Планирование выручки'!AJ9*'Исходные данные'!$B$3</f>
        <v>19700</v>
      </c>
      <c r="AK6" s="129">
        <f>'Планирование выручки'!AK9*'Исходные данные'!$B$3</f>
        <v>20700</v>
      </c>
    </row>
    <row r="7" spans="1:37" ht="27" x14ac:dyDescent="0.25">
      <c r="A7" s="54" t="s">
        <v>189</v>
      </c>
      <c r="B7" s="2">
        <f>MOD(B6,'Исходные данные'!$B$13)</f>
        <v>0</v>
      </c>
      <c r="C7" s="2">
        <f>MOD(C6,'Исходные данные'!$B$13)</f>
        <v>800</v>
      </c>
      <c r="D7" s="2">
        <f>MOD(D6,'Исходные данные'!$B$13)</f>
        <v>1100</v>
      </c>
      <c r="E7" s="2">
        <f>MOD(E6,'Исходные данные'!$B$13)</f>
        <v>1400</v>
      </c>
      <c r="F7" s="2">
        <f>MOD(F6,'Исходные данные'!$B$13)</f>
        <v>1700</v>
      </c>
      <c r="G7" s="2">
        <f>MOD(G6,'Исходные данные'!$B$13)</f>
        <v>2000</v>
      </c>
      <c r="H7" s="2">
        <f>MOD(H6,'Исходные данные'!$B$13)</f>
        <v>2400</v>
      </c>
      <c r="I7" s="2">
        <f>MOD(I6,'Исходные данные'!$B$13)</f>
        <v>2900</v>
      </c>
      <c r="J7" s="2">
        <f>MOD(J6,'Исходные данные'!$B$13)</f>
        <v>3400</v>
      </c>
      <c r="K7" s="2">
        <f>MOD(K6,'Исходные данные'!$B$13)</f>
        <v>700</v>
      </c>
      <c r="L7" s="2">
        <f>MOD(L6,'Исходные данные'!$B$13)</f>
        <v>1700</v>
      </c>
      <c r="M7" s="2">
        <f>MOD(M6,'Исходные данные'!$B$13)</f>
        <v>2600</v>
      </c>
      <c r="N7" s="2">
        <f>MOD(N6,'Исходные данные'!$B$13)</f>
        <v>3100</v>
      </c>
      <c r="O7" s="2">
        <f>MOD(O6,'Исходные данные'!$B$13)</f>
        <v>400</v>
      </c>
      <c r="P7" s="2">
        <f>MOD(P6,'Исходные данные'!$B$13)</f>
        <v>1400</v>
      </c>
      <c r="Q7" s="2">
        <f>MOD(Q6,'Исходные данные'!$B$13)</f>
        <v>1800</v>
      </c>
      <c r="R7" s="2">
        <f>MOD(R6,'Исходные данные'!$B$13)</f>
        <v>2300</v>
      </c>
      <c r="S7" s="2">
        <f>MOD(S6,'Исходные данные'!$B$13)</f>
        <v>2400</v>
      </c>
      <c r="T7" s="2">
        <f>MOD(T6,'Исходные данные'!$B$13)</f>
        <v>2500</v>
      </c>
      <c r="U7" s="2">
        <f>MOD(U6,'Исходные данные'!$B$13)</f>
        <v>3000</v>
      </c>
      <c r="V7" s="2">
        <f>MOD(V6,'Исходные данные'!$B$13)</f>
        <v>3400</v>
      </c>
      <c r="W7" s="2">
        <f>MOD(W6,'Исходные данные'!$B$13)</f>
        <v>800</v>
      </c>
      <c r="X7" s="2">
        <f>MOD(X6,'Исходные данные'!$B$13)</f>
        <v>1700</v>
      </c>
      <c r="Y7" s="2">
        <f>MOD(Y6,'Исходные данные'!$B$13)</f>
        <v>2600</v>
      </c>
      <c r="Z7" s="2">
        <f>MOD(Z6,'Исходные данные'!$B$13)</f>
        <v>3100</v>
      </c>
      <c r="AA7" s="2">
        <f>MOD(AA6,'Исходные данные'!$B$13)</f>
        <v>500</v>
      </c>
      <c r="AB7" s="2">
        <f>MOD(AB6,'Исходные данные'!$B$13)</f>
        <v>1400</v>
      </c>
      <c r="AC7" s="2">
        <f>MOD(AC6,'Исходные данные'!$B$13)</f>
        <v>1900</v>
      </c>
      <c r="AD7" s="2">
        <f>MOD(AD6,'Исходные данные'!$B$13)</f>
        <v>2300</v>
      </c>
      <c r="AE7" s="2">
        <f>MOD(AE6,'Исходные данные'!$B$13)</f>
        <v>2400</v>
      </c>
      <c r="AF7" s="2">
        <f>MOD(AF6,'Исходные данные'!$B$13)</f>
        <v>2500</v>
      </c>
      <c r="AG7" s="2">
        <f>MOD(AG6,'Исходные данные'!$B$13)</f>
        <v>3000</v>
      </c>
      <c r="AH7" s="2">
        <f>MOD(AH6,'Исходные данные'!$B$13)</f>
        <v>3500</v>
      </c>
      <c r="AI7" s="2">
        <f>MOD(AI6,'Исходные данные'!$B$13)</f>
        <v>800</v>
      </c>
      <c r="AJ7" s="2">
        <f>MOD(AJ6,'Исходные данные'!$B$13)</f>
        <v>1700</v>
      </c>
      <c r="AK7" s="2">
        <f>MOD(AK6,'Исходные данные'!$B$13)</f>
        <v>2700</v>
      </c>
    </row>
    <row r="8" spans="1:37" x14ac:dyDescent="0.25">
      <c r="A8" s="54" t="s">
        <v>190</v>
      </c>
      <c r="B8" s="130">
        <f>INT(B6/'Исходные данные'!$B$13)</f>
        <v>0</v>
      </c>
      <c r="C8" s="130">
        <f>INT(C6/'Исходные данные'!$B$13)</f>
        <v>0</v>
      </c>
      <c r="D8" s="130">
        <f>INT(D6/'Исходные данные'!$B$13)</f>
        <v>0</v>
      </c>
      <c r="E8" s="130">
        <f>INT(E6/'Исходные данные'!$B$13)</f>
        <v>0</v>
      </c>
      <c r="F8" s="130">
        <f>INT(F6/'Исходные данные'!$B$13)</f>
        <v>0</v>
      </c>
      <c r="G8" s="130">
        <f>INT(G6/'Исходные данные'!$B$13)</f>
        <v>0</v>
      </c>
      <c r="H8" s="130">
        <f>INT(H6/'Исходные данные'!$B$13)</f>
        <v>0</v>
      </c>
      <c r="I8" s="130">
        <f>INT(I6/'Исходные данные'!$B$13)</f>
        <v>0</v>
      </c>
      <c r="J8" s="130">
        <f>INT(J6/'Исходные данные'!$B$13)</f>
        <v>0</v>
      </c>
      <c r="K8" s="130">
        <f>INT(K6/'Исходные данные'!$B$13)</f>
        <v>1</v>
      </c>
      <c r="L8" s="130">
        <f>INT(L6/'Исходные данные'!$B$13)</f>
        <v>1</v>
      </c>
      <c r="M8" s="130">
        <f>INT(M6/'Исходные данные'!$B$13)</f>
        <v>1</v>
      </c>
      <c r="N8" s="130">
        <f>INT(N6/'Исходные данные'!$B$13)</f>
        <v>1</v>
      </c>
      <c r="O8" s="130">
        <f>INT(O6/'Исходные данные'!$B$13)</f>
        <v>2</v>
      </c>
      <c r="P8" s="130">
        <f>INT(P6/'Исходные данные'!$B$13)</f>
        <v>2</v>
      </c>
      <c r="Q8" s="130">
        <f>INT(Q6/'Исходные данные'!$B$13)</f>
        <v>2</v>
      </c>
      <c r="R8" s="130">
        <f>INT(R6/'Исходные данные'!$B$13)</f>
        <v>2</v>
      </c>
      <c r="S8" s="130">
        <f>INT(S6/'Исходные данные'!$B$13)</f>
        <v>2</v>
      </c>
      <c r="T8" s="130">
        <f>INT(T6/'Исходные данные'!$B$13)</f>
        <v>2</v>
      </c>
      <c r="U8" s="130">
        <f>INT(U6/'Исходные данные'!$B$13)</f>
        <v>2</v>
      </c>
      <c r="V8" s="130">
        <f>INT(V6/'Исходные данные'!$B$13)</f>
        <v>2</v>
      </c>
      <c r="W8" s="130">
        <f>INT(W6/'Исходные данные'!$B$13)</f>
        <v>3</v>
      </c>
      <c r="X8" s="130">
        <f>INT(X6/'Исходные данные'!$B$13)</f>
        <v>3</v>
      </c>
      <c r="Y8" s="130">
        <f>INT(Y6/'Исходные данные'!$B$13)</f>
        <v>3</v>
      </c>
      <c r="Z8" s="130">
        <f>INT(Z6/'Исходные данные'!$B$13)</f>
        <v>3</v>
      </c>
      <c r="AA8" s="130">
        <f>INT(AA6/'Исходные данные'!$B$13)</f>
        <v>4</v>
      </c>
      <c r="AB8" s="130">
        <f>INT(AB6/'Исходные данные'!$B$13)</f>
        <v>4</v>
      </c>
      <c r="AC8" s="130">
        <f>INT(AC6/'Исходные данные'!$B$13)</f>
        <v>4</v>
      </c>
      <c r="AD8" s="130">
        <f>INT(AD6/'Исходные данные'!$B$13)</f>
        <v>4</v>
      </c>
      <c r="AE8" s="130">
        <f>INT(AE6/'Исходные данные'!$B$13)</f>
        <v>4</v>
      </c>
      <c r="AF8" s="130">
        <f>INT(AF6/'Исходные данные'!$B$13)</f>
        <v>4</v>
      </c>
      <c r="AG8" s="130">
        <f>INT(AG6/'Исходные данные'!$B$13)</f>
        <v>4</v>
      </c>
      <c r="AH8" s="130">
        <f>INT(AH6/'Исходные данные'!$B$13)</f>
        <v>4</v>
      </c>
      <c r="AI8" s="130">
        <f>INT(AI6/'Исходные данные'!$B$13)</f>
        <v>5</v>
      </c>
      <c r="AJ8" s="130">
        <f>INT(AJ6/'Исходные данные'!$B$13)</f>
        <v>5</v>
      </c>
      <c r="AK8" s="130">
        <f>INT(AK6/'Исходные данные'!$B$13)</f>
        <v>5</v>
      </c>
    </row>
    <row r="9" spans="1:37" x14ac:dyDescent="0.25">
      <c r="A9" s="54" t="s">
        <v>191</v>
      </c>
      <c r="B9" s="131">
        <f>B10</f>
        <v>0</v>
      </c>
      <c r="C9" s="131">
        <f t="shared" ref="C9:AK9" si="0">C10</f>
        <v>1</v>
      </c>
      <c r="D9" s="131">
        <f t="shared" si="0"/>
        <v>1</v>
      </c>
      <c r="E9" s="131">
        <f t="shared" si="0"/>
        <v>1</v>
      </c>
      <c r="F9" s="131">
        <f t="shared" si="0"/>
        <v>1</v>
      </c>
      <c r="G9" s="131">
        <f t="shared" si="0"/>
        <v>1</v>
      </c>
      <c r="H9" s="131">
        <f t="shared" si="0"/>
        <v>1</v>
      </c>
      <c r="I9" s="131">
        <f t="shared" si="0"/>
        <v>1</v>
      </c>
      <c r="J9" s="131">
        <f t="shared" si="0"/>
        <v>1</v>
      </c>
      <c r="K9" s="131">
        <f t="shared" si="0"/>
        <v>2</v>
      </c>
      <c r="L9" s="131">
        <f t="shared" si="0"/>
        <v>2</v>
      </c>
      <c r="M9" s="131">
        <f t="shared" si="0"/>
        <v>2</v>
      </c>
      <c r="N9" s="131">
        <f t="shared" si="0"/>
        <v>2</v>
      </c>
      <c r="O9" s="131">
        <f t="shared" si="0"/>
        <v>3</v>
      </c>
      <c r="P9" s="131">
        <f t="shared" si="0"/>
        <v>3</v>
      </c>
      <c r="Q9" s="131">
        <f t="shared" si="0"/>
        <v>3</v>
      </c>
      <c r="R9" s="131">
        <f t="shared" si="0"/>
        <v>3</v>
      </c>
      <c r="S9" s="131">
        <f t="shared" si="0"/>
        <v>3</v>
      </c>
      <c r="T9" s="131">
        <f t="shared" si="0"/>
        <v>3</v>
      </c>
      <c r="U9" s="131">
        <f t="shared" si="0"/>
        <v>3</v>
      </c>
      <c r="V9" s="131">
        <f t="shared" si="0"/>
        <v>3</v>
      </c>
      <c r="W9" s="131">
        <f t="shared" si="0"/>
        <v>4</v>
      </c>
      <c r="X9" s="131">
        <f t="shared" si="0"/>
        <v>4</v>
      </c>
      <c r="Y9" s="131">
        <f t="shared" si="0"/>
        <v>4</v>
      </c>
      <c r="Z9" s="131">
        <f t="shared" si="0"/>
        <v>4</v>
      </c>
      <c r="AA9" s="131">
        <f t="shared" si="0"/>
        <v>5</v>
      </c>
      <c r="AB9" s="131">
        <f t="shared" si="0"/>
        <v>5</v>
      </c>
      <c r="AC9" s="131">
        <f t="shared" si="0"/>
        <v>5</v>
      </c>
      <c r="AD9" s="131">
        <f t="shared" si="0"/>
        <v>5</v>
      </c>
      <c r="AE9" s="131">
        <f t="shared" si="0"/>
        <v>5</v>
      </c>
      <c r="AF9" s="131">
        <f t="shared" si="0"/>
        <v>5</v>
      </c>
      <c r="AG9" s="131">
        <f t="shared" si="0"/>
        <v>5</v>
      </c>
      <c r="AH9" s="131">
        <f t="shared" si="0"/>
        <v>5</v>
      </c>
      <c r="AI9" s="131">
        <f t="shared" si="0"/>
        <v>6</v>
      </c>
      <c r="AJ9" s="131">
        <f t="shared" si="0"/>
        <v>6</v>
      </c>
      <c r="AK9" s="131">
        <f t="shared" si="0"/>
        <v>6</v>
      </c>
    </row>
    <row r="10" spans="1:37" x14ac:dyDescent="0.25">
      <c r="A10" s="54" t="s">
        <v>192</v>
      </c>
      <c r="B10" s="132">
        <f>CEILING(B6/'Исходные данные'!$B$13,1)</f>
        <v>0</v>
      </c>
      <c r="C10" s="132">
        <f>CEILING(C6/'Исходные данные'!$B$13,1)</f>
        <v>1</v>
      </c>
      <c r="D10" s="132">
        <f>CEILING(D6/'Исходные данные'!$B$13,1)</f>
        <v>1</v>
      </c>
      <c r="E10" s="132">
        <f>CEILING(E6/'Исходные данные'!$B$13,1)</f>
        <v>1</v>
      </c>
      <c r="F10" s="132">
        <f>CEILING(F6/'Исходные данные'!$B$13,1)</f>
        <v>1</v>
      </c>
      <c r="G10" s="132">
        <f>CEILING(G6/'Исходные данные'!$B$13,1)</f>
        <v>1</v>
      </c>
      <c r="H10" s="132">
        <f>CEILING(H6/'Исходные данные'!$B$13,1)</f>
        <v>1</v>
      </c>
      <c r="I10" s="132">
        <f>CEILING(I6/'Исходные данные'!$B$13,1)</f>
        <v>1</v>
      </c>
      <c r="J10" s="132">
        <f>CEILING(J6/'Исходные данные'!$B$13,1)</f>
        <v>1</v>
      </c>
      <c r="K10" s="132">
        <f>CEILING(K6/'Исходные данные'!$B$13,1)</f>
        <v>2</v>
      </c>
      <c r="L10" s="132">
        <f>CEILING(L6/'Исходные данные'!$B$13,1)</f>
        <v>2</v>
      </c>
      <c r="M10" s="132">
        <f>CEILING(M6/'Исходные данные'!$B$13,1)</f>
        <v>2</v>
      </c>
      <c r="N10" s="132">
        <f>CEILING(N6/'Исходные данные'!$B$13,1)</f>
        <v>2</v>
      </c>
      <c r="O10" s="132">
        <f>CEILING(O6/'Исходные данные'!$B$13,1)</f>
        <v>3</v>
      </c>
      <c r="P10" s="132">
        <f>CEILING(P6/'Исходные данные'!$B$13,1)</f>
        <v>3</v>
      </c>
      <c r="Q10" s="132">
        <f>CEILING(Q6/'Исходные данные'!$B$13,1)</f>
        <v>3</v>
      </c>
      <c r="R10" s="132">
        <f>CEILING(R6/'Исходные данные'!$B$13,1)</f>
        <v>3</v>
      </c>
      <c r="S10" s="132">
        <f>CEILING(S6/'Исходные данные'!$B$13,1)</f>
        <v>3</v>
      </c>
      <c r="T10" s="132">
        <f>CEILING(T6/'Исходные данные'!$B$13,1)</f>
        <v>3</v>
      </c>
      <c r="U10" s="132">
        <f>CEILING(U6/'Исходные данные'!$B$13,1)</f>
        <v>3</v>
      </c>
      <c r="V10" s="132">
        <f>CEILING(V6/'Исходные данные'!$B$13,1)</f>
        <v>3</v>
      </c>
      <c r="W10" s="132">
        <f>CEILING(W6/'Исходные данные'!$B$13,1)</f>
        <v>4</v>
      </c>
      <c r="X10" s="132">
        <f>CEILING(X6/'Исходные данные'!$B$13,1)</f>
        <v>4</v>
      </c>
      <c r="Y10" s="132">
        <f>CEILING(Y6/'Исходные данные'!$B$13,1)</f>
        <v>4</v>
      </c>
      <c r="Z10" s="132">
        <f>CEILING(Z6/'Исходные данные'!$B$13,1)</f>
        <v>4</v>
      </c>
      <c r="AA10" s="132">
        <f>CEILING(AA6/'Исходные данные'!$B$13,1)</f>
        <v>5</v>
      </c>
      <c r="AB10" s="132">
        <f>CEILING(AB6/'Исходные данные'!$B$13,1)</f>
        <v>5</v>
      </c>
      <c r="AC10" s="132">
        <f>CEILING(AC6/'Исходные данные'!$B$13,1)</f>
        <v>5</v>
      </c>
      <c r="AD10" s="132">
        <f>CEILING(AD6/'Исходные данные'!$B$13,1)</f>
        <v>5</v>
      </c>
      <c r="AE10" s="132">
        <f>CEILING(AE6/'Исходные данные'!$B$13,1)</f>
        <v>5</v>
      </c>
      <c r="AF10" s="132">
        <f>CEILING(AF6/'Исходные данные'!$B$13,1)</f>
        <v>5</v>
      </c>
      <c r="AG10" s="132">
        <f>CEILING(AG6/'Исходные данные'!$B$13,1)</f>
        <v>5</v>
      </c>
      <c r="AH10" s="132">
        <f>CEILING(AH6/'Исходные данные'!$B$13,1)</f>
        <v>5</v>
      </c>
      <c r="AI10" s="132">
        <f>CEILING(AI6/'Исходные данные'!$B$13,1)</f>
        <v>6</v>
      </c>
      <c r="AJ10" s="132">
        <f>CEILING(AJ6/'Исходные данные'!$B$13,1)</f>
        <v>6</v>
      </c>
      <c r="AK10" s="132">
        <f>CEILING(AK6/'Исходные данные'!$B$13,1)</f>
        <v>6</v>
      </c>
    </row>
    <row r="11" spans="1:37" x14ac:dyDescent="0.25">
      <c r="A11" s="54" t="s">
        <v>193</v>
      </c>
      <c r="B11" s="131">
        <f>B8+INT(B7/(2*'Исходные данные'!$B$12))</f>
        <v>0</v>
      </c>
      <c r="C11" s="131">
        <f>C8+INT(C7/(2*'Исходные данные'!$B$12))</f>
        <v>0</v>
      </c>
      <c r="D11" s="131">
        <f>D8+INT(D7/(2*'Исходные данные'!$B$12))</f>
        <v>0</v>
      </c>
      <c r="E11" s="131">
        <f>E8+INT(E7/(2*'Исходные данные'!$B$12))</f>
        <v>0</v>
      </c>
      <c r="F11" s="131">
        <f>F8+INT(F7/(2*'Исходные данные'!$B$12))</f>
        <v>0</v>
      </c>
      <c r="G11" s="131">
        <f>G8+INT(G7/(2*'Исходные данные'!$B$12))</f>
        <v>0</v>
      </c>
      <c r="H11" s="131">
        <f>H8+INT(H7/(2*'Исходные данные'!$B$12))</f>
        <v>1</v>
      </c>
      <c r="I11" s="131">
        <f>I8+INT(I7/(2*'Исходные данные'!$B$12))</f>
        <v>1</v>
      </c>
      <c r="J11" s="131">
        <f>J8+INT(J7/(2*'Исходные данные'!$B$12))</f>
        <v>1</v>
      </c>
      <c r="K11" s="131">
        <f>K8+INT(K7/(2*'Исходные данные'!$B$12))</f>
        <v>1</v>
      </c>
      <c r="L11" s="131">
        <f>L8+INT(L7/(2*'Исходные данные'!$B$12))</f>
        <v>1</v>
      </c>
      <c r="M11" s="131">
        <f>M8+INT(M7/(2*'Исходные данные'!$B$12))</f>
        <v>2</v>
      </c>
      <c r="N11" s="131">
        <f>N8+INT(N7/(2*'Исходные данные'!$B$12))</f>
        <v>2</v>
      </c>
      <c r="O11" s="131">
        <f>O8+INT(O7/(2*'Исходные данные'!$B$12))</f>
        <v>2</v>
      </c>
      <c r="P11" s="131">
        <f>P8+INT(P7/(2*'Исходные данные'!$B$12))</f>
        <v>2</v>
      </c>
      <c r="Q11" s="131">
        <f>Q8+INT(Q7/(2*'Исходные данные'!$B$12))</f>
        <v>2</v>
      </c>
      <c r="R11" s="131">
        <f>R8+INT(R7/(2*'Исходные данные'!$B$12))</f>
        <v>2</v>
      </c>
      <c r="S11" s="131">
        <f>S8+INT(S7/(2*'Исходные данные'!$B$12))</f>
        <v>3</v>
      </c>
      <c r="T11" s="131">
        <f>T8+INT(T7/(2*'Исходные данные'!$B$12))</f>
        <v>3</v>
      </c>
      <c r="U11" s="131">
        <f>U8+INT(U7/(2*'Исходные данные'!$B$12))</f>
        <v>3</v>
      </c>
      <c r="V11" s="131">
        <f>V8+INT(V7/(2*'Исходные данные'!$B$12))</f>
        <v>3</v>
      </c>
      <c r="W11" s="131">
        <f>W8+INT(W7/(2*'Исходные данные'!$B$12))</f>
        <v>3</v>
      </c>
      <c r="X11" s="131">
        <f>X8+INT(X7/(2*'Исходные данные'!$B$12))</f>
        <v>3</v>
      </c>
      <c r="Y11" s="131">
        <f>Y8+INT(Y7/(2*'Исходные данные'!$B$12))</f>
        <v>4</v>
      </c>
      <c r="Z11" s="131">
        <f>Z8+INT(Z7/(2*'Исходные данные'!$B$12))</f>
        <v>4</v>
      </c>
      <c r="AA11" s="131">
        <f>AA8+INT(AA7/(2*'Исходные данные'!$B$12))</f>
        <v>4</v>
      </c>
      <c r="AB11" s="131">
        <f>AB8+INT(AB7/(2*'Исходные данные'!$B$12))</f>
        <v>4</v>
      </c>
      <c r="AC11" s="131">
        <f>AC8+INT(AC7/(2*'Исходные данные'!$B$12))</f>
        <v>4</v>
      </c>
      <c r="AD11" s="131">
        <f>AD8+INT(AD7/(2*'Исходные данные'!$B$12))</f>
        <v>4</v>
      </c>
      <c r="AE11" s="131">
        <f>AE8+INT(AE7/(2*'Исходные данные'!$B$12))</f>
        <v>5</v>
      </c>
      <c r="AF11" s="131">
        <f>AF8+INT(AF7/(2*'Исходные данные'!$B$12))</f>
        <v>5</v>
      </c>
      <c r="AG11" s="131">
        <f>AG8+INT(AG7/(2*'Исходные данные'!$B$12))</f>
        <v>5</v>
      </c>
      <c r="AH11" s="131">
        <f>AH8+INT(AH7/(2*'Исходные данные'!$B$12))</f>
        <v>5</v>
      </c>
      <c r="AI11" s="131">
        <f>AI8+INT(AI7/(2*'Исходные данные'!$B$12))</f>
        <v>5</v>
      </c>
      <c r="AJ11" s="131">
        <f>AJ8+INT(AJ7/(2*'Исходные данные'!$B$12))</f>
        <v>5</v>
      </c>
      <c r="AK11" s="131">
        <f>AK8+INT(AK7/(2*'Исходные данные'!$B$12))</f>
        <v>6</v>
      </c>
    </row>
    <row r="12" spans="1:37" x14ac:dyDescent="0.25">
      <c r="A12" s="54" t="s">
        <v>194</v>
      </c>
      <c r="B12" s="131">
        <f>B8*3+CEILING(B7/'Исходные данные'!$B$12,1)</f>
        <v>0</v>
      </c>
      <c r="C12" s="131">
        <f>C8*3+CEILING(C7/'Исходные данные'!$B$12,1)</f>
        <v>1</v>
      </c>
      <c r="D12" s="131">
        <f>D8*3+CEILING(D7/'Исходные данные'!$B$12,1)</f>
        <v>1</v>
      </c>
      <c r="E12" s="131">
        <f>E8*3+CEILING(E7/'Исходные данные'!$B$12,1)</f>
        <v>2</v>
      </c>
      <c r="F12" s="131">
        <f>F8*3+CEILING(F7/'Исходные данные'!$B$12,1)</f>
        <v>2</v>
      </c>
      <c r="G12" s="131">
        <f>G8*3+CEILING(G7/'Исходные данные'!$B$12,1)</f>
        <v>2</v>
      </c>
      <c r="H12" s="131">
        <f>H8*3+CEILING(H7/'Исходные данные'!$B$12,1)</f>
        <v>2</v>
      </c>
      <c r="I12" s="131">
        <f>I8*3+CEILING(I7/'Исходные данные'!$B$12,1)</f>
        <v>3</v>
      </c>
      <c r="J12" s="131">
        <f>J8*3+CEILING(J7/'Исходные данные'!$B$12,1)</f>
        <v>3</v>
      </c>
      <c r="K12" s="131">
        <f>K8*3+CEILING(K7/'Исходные данные'!$B$12,1)</f>
        <v>4</v>
      </c>
      <c r="L12" s="131">
        <f>L8*3+CEILING(L7/'Исходные данные'!$B$12,1)</f>
        <v>5</v>
      </c>
      <c r="M12" s="131">
        <f>M8*3+CEILING(M7/'Исходные данные'!$B$12,1)</f>
        <v>6</v>
      </c>
      <c r="N12" s="131">
        <f>N8*3+CEILING(N7/'Исходные данные'!$B$12,1)</f>
        <v>6</v>
      </c>
      <c r="O12" s="131">
        <f>O8*3+CEILING(O7/'Исходные данные'!$B$12,1)</f>
        <v>7</v>
      </c>
      <c r="P12" s="131">
        <f>P8*3+CEILING(P7/'Исходные данные'!$B$12,1)</f>
        <v>8</v>
      </c>
      <c r="Q12" s="131">
        <f>Q8*3+CEILING(Q7/'Исходные данные'!$B$12,1)</f>
        <v>8</v>
      </c>
      <c r="R12" s="131">
        <f>R8*3+CEILING(R7/'Исходные данные'!$B$12,1)</f>
        <v>8</v>
      </c>
      <c r="S12" s="131">
        <f>S8*3+CEILING(S7/'Исходные данные'!$B$12,1)</f>
        <v>8</v>
      </c>
      <c r="T12" s="131">
        <f>T8*3+CEILING(T7/'Исходные данные'!$B$12,1)</f>
        <v>9</v>
      </c>
      <c r="U12" s="131">
        <f>U8*3+CEILING(U7/'Исходные данные'!$B$12,1)</f>
        <v>9</v>
      </c>
      <c r="V12" s="131">
        <f>V8*3+CEILING(V7/'Исходные данные'!$B$12,1)</f>
        <v>9</v>
      </c>
      <c r="W12" s="131">
        <f>W8*3+CEILING(W7/'Исходные данные'!$B$12,1)</f>
        <v>10</v>
      </c>
      <c r="X12" s="131">
        <f>X8*3+CEILING(X7/'Исходные данные'!$B$12,1)</f>
        <v>11</v>
      </c>
      <c r="Y12" s="131">
        <f>Y8*3+CEILING(Y7/'Исходные данные'!$B$12,1)</f>
        <v>12</v>
      </c>
      <c r="Z12" s="131">
        <f>Z8*3+CEILING(Z7/'Исходные данные'!$B$12,1)</f>
        <v>12</v>
      </c>
      <c r="AA12" s="131">
        <f>AA8*3+CEILING(AA7/'Исходные данные'!$B$12,1)</f>
        <v>13</v>
      </c>
      <c r="AB12" s="131">
        <f>AB8*3+CEILING(AB7/'Исходные данные'!$B$12,1)</f>
        <v>14</v>
      </c>
      <c r="AC12" s="131">
        <f>AC8*3+CEILING(AC7/'Исходные данные'!$B$12,1)</f>
        <v>14</v>
      </c>
      <c r="AD12" s="131">
        <f>AD8*3+CEILING(AD7/'Исходные данные'!$B$12,1)</f>
        <v>14</v>
      </c>
      <c r="AE12" s="131">
        <f>AE8*3+CEILING(AE7/'Исходные данные'!$B$12,1)</f>
        <v>14</v>
      </c>
      <c r="AF12" s="131">
        <f>AF8*3+CEILING(AF7/'Исходные данные'!$B$12,1)</f>
        <v>15</v>
      </c>
      <c r="AG12" s="131">
        <f>AG8*3+CEILING(AG7/'Исходные данные'!$B$12,1)</f>
        <v>15</v>
      </c>
      <c r="AH12" s="131">
        <f>AH8*3+CEILING(AH7/'Исходные данные'!$B$12,1)</f>
        <v>15</v>
      </c>
      <c r="AI12" s="131">
        <f>AI8*3+CEILING(AI7/'Исходные данные'!$B$12,1)</f>
        <v>16</v>
      </c>
      <c r="AJ12" s="131">
        <f>AJ8*3+CEILING(AJ7/'Исходные данные'!$B$12,1)</f>
        <v>17</v>
      </c>
      <c r="AK12" s="131">
        <f>AK8*3+CEILING(AK7/'Исходные данные'!$B$12,1)</f>
        <v>18</v>
      </c>
    </row>
    <row r="13" spans="1:37" ht="27" x14ac:dyDescent="0.25">
      <c r="A13" s="133" t="s">
        <v>195</v>
      </c>
      <c r="B13" s="131">
        <f>SUM(B10:B12)</f>
        <v>0</v>
      </c>
      <c r="C13" s="131">
        <f t="shared" ref="C13:AK13" si="1">SUM(C10:C12)</f>
        <v>2</v>
      </c>
      <c r="D13" s="131">
        <f t="shared" si="1"/>
        <v>2</v>
      </c>
      <c r="E13" s="131">
        <f t="shared" si="1"/>
        <v>3</v>
      </c>
      <c r="F13" s="131">
        <f t="shared" si="1"/>
        <v>3</v>
      </c>
      <c r="G13" s="131">
        <f t="shared" si="1"/>
        <v>3</v>
      </c>
      <c r="H13" s="131">
        <f t="shared" si="1"/>
        <v>4</v>
      </c>
      <c r="I13" s="131">
        <f t="shared" si="1"/>
        <v>5</v>
      </c>
      <c r="J13" s="131">
        <f t="shared" si="1"/>
        <v>5</v>
      </c>
      <c r="K13" s="131">
        <f t="shared" si="1"/>
        <v>7</v>
      </c>
      <c r="L13" s="131">
        <f t="shared" si="1"/>
        <v>8</v>
      </c>
      <c r="M13" s="131">
        <f t="shared" si="1"/>
        <v>10</v>
      </c>
      <c r="N13" s="131">
        <f t="shared" si="1"/>
        <v>10</v>
      </c>
      <c r="O13" s="131">
        <f t="shared" si="1"/>
        <v>12</v>
      </c>
      <c r="P13" s="131">
        <f t="shared" si="1"/>
        <v>13</v>
      </c>
      <c r="Q13" s="131">
        <f t="shared" si="1"/>
        <v>13</v>
      </c>
      <c r="R13" s="131">
        <f t="shared" si="1"/>
        <v>13</v>
      </c>
      <c r="S13" s="131">
        <f t="shared" si="1"/>
        <v>14</v>
      </c>
      <c r="T13" s="131">
        <f t="shared" si="1"/>
        <v>15</v>
      </c>
      <c r="U13" s="131">
        <f t="shared" si="1"/>
        <v>15</v>
      </c>
      <c r="V13" s="131">
        <f t="shared" si="1"/>
        <v>15</v>
      </c>
      <c r="W13" s="131">
        <f t="shared" si="1"/>
        <v>17</v>
      </c>
      <c r="X13" s="131">
        <f t="shared" si="1"/>
        <v>18</v>
      </c>
      <c r="Y13" s="131">
        <f t="shared" si="1"/>
        <v>20</v>
      </c>
      <c r="Z13" s="131">
        <f t="shared" si="1"/>
        <v>20</v>
      </c>
      <c r="AA13" s="131">
        <f t="shared" si="1"/>
        <v>22</v>
      </c>
      <c r="AB13" s="131">
        <f t="shared" si="1"/>
        <v>23</v>
      </c>
      <c r="AC13" s="131">
        <f t="shared" si="1"/>
        <v>23</v>
      </c>
      <c r="AD13" s="131">
        <f t="shared" si="1"/>
        <v>23</v>
      </c>
      <c r="AE13" s="131">
        <f t="shared" si="1"/>
        <v>24</v>
      </c>
      <c r="AF13" s="131">
        <f t="shared" si="1"/>
        <v>25</v>
      </c>
      <c r="AG13" s="131">
        <f t="shared" si="1"/>
        <v>25</v>
      </c>
      <c r="AH13" s="131">
        <f t="shared" si="1"/>
        <v>25</v>
      </c>
      <c r="AI13" s="131">
        <f t="shared" si="1"/>
        <v>27</v>
      </c>
      <c r="AJ13" s="131">
        <f t="shared" si="1"/>
        <v>28</v>
      </c>
      <c r="AK13" s="131">
        <f t="shared" si="1"/>
        <v>30</v>
      </c>
    </row>
    <row r="14" spans="1:37" ht="3" customHeight="1" x14ac:dyDescent="0.25">
      <c r="A14" s="41"/>
      <c r="B14" s="134"/>
      <c r="C14" s="131"/>
      <c r="D14" s="131"/>
      <c r="E14" s="131"/>
      <c r="F14" s="131"/>
      <c r="G14" s="131"/>
      <c r="H14" s="131"/>
      <c r="I14" s="135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</row>
    <row r="15" spans="1:37" ht="16.5" customHeight="1" x14ac:dyDescent="0.25">
      <c r="A15" s="136" t="s">
        <v>196</v>
      </c>
      <c r="B15" s="137"/>
      <c r="C15" s="137"/>
      <c r="D15" s="137"/>
      <c r="E15" s="137"/>
      <c r="F15" s="137"/>
      <c r="G15" s="137"/>
      <c r="H15" s="137"/>
      <c r="I15" s="138"/>
      <c r="J15" s="137"/>
      <c r="K15" s="137"/>
      <c r="L15" s="137"/>
      <c r="M15" s="137"/>
      <c r="N15" s="137"/>
      <c r="O15" s="137"/>
      <c r="P15" s="137"/>
      <c r="Q15" s="137"/>
      <c r="R15" s="138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</row>
    <row r="16" spans="1:37" ht="27" x14ac:dyDescent="0.25">
      <c r="A16" s="58" t="s">
        <v>197</v>
      </c>
      <c r="B16" s="139">
        <f>'Планирование выручки'!B5*8/40</f>
        <v>0</v>
      </c>
      <c r="C16" s="139">
        <f>'Планирование выручки'!C5*8/40</f>
        <v>1.8</v>
      </c>
      <c r="D16" s="139">
        <f>'Планирование выручки'!D5*8/40</f>
        <v>0.6</v>
      </c>
      <c r="E16" s="139">
        <f>'Планирование выручки'!E5*8/40</f>
        <v>0.6</v>
      </c>
      <c r="F16" s="139">
        <f>'Планирование выручки'!F5*8/40</f>
        <v>0.6</v>
      </c>
      <c r="G16" s="139">
        <f>'Планирование выручки'!G5*8/40</f>
        <v>0.6</v>
      </c>
      <c r="H16" s="139">
        <f>'Планирование выручки'!H5*8/40</f>
        <v>1</v>
      </c>
      <c r="I16" s="139">
        <f>'Планирование выручки'!I5*8/40</f>
        <v>1</v>
      </c>
      <c r="J16" s="139">
        <f>'Планирование выручки'!J5*8/40</f>
        <v>1</v>
      </c>
      <c r="K16" s="139">
        <f>'Планирование выручки'!K5*8/40</f>
        <v>2</v>
      </c>
      <c r="L16" s="139">
        <f>'Планирование выручки'!L5*8/40</f>
        <v>2</v>
      </c>
      <c r="M16" s="139">
        <f>'Планирование выручки'!M5*8/40</f>
        <v>2</v>
      </c>
      <c r="N16" s="139">
        <f>'Планирование выручки'!N5*8/40</f>
        <v>1</v>
      </c>
      <c r="O16" s="139">
        <f>'Планирование выручки'!O5*8/40</f>
        <v>2</v>
      </c>
      <c r="P16" s="139">
        <f>'Планирование выручки'!P5*8/40</f>
        <v>2</v>
      </c>
      <c r="Q16" s="139">
        <f>'Планирование выручки'!Q5*8/40</f>
        <v>1</v>
      </c>
      <c r="R16" s="139">
        <f>'Планирование выручки'!R5*8/40</f>
        <v>1</v>
      </c>
      <c r="S16" s="139">
        <f>'Планирование выручки'!S5*8/40</f>
        <v>0.2</v>
      </c>
      <c r="T16" s="139">
        <f>'Планирование выручки'!T5*8/40</f>
        <v>0.2</v>
      </c>
      <c r="U16" s="139">
        <f>'Планирование выручки'!U5*8/40</f>
        <v>1</v>
      </c>
      <c r="V16" s="139">
        <f>'Планирование выручки'!V5*8/40</f>
        <v>1</v>
      </c>
      <c r="W16" s="139">
        <f>'Планирование выручки'!W5*8/40</f>
        <v>2</v>
      </c>
      <c r="X16" s="139">
        <f>'Планирование выручки'!X5*8/40</f>
        <v>2</v>
      </c>
      <c r="Y16" s="139">
        <f>'Планирование выручки'!Y5*8/40</f>
        <v>2</v>
      </c>
      <c r="Z16" s="139">
        <f>'Планирование выручки'!Z5*8/40</f>
        <v>1</v>
      </c>
      <c r="AA16" s="139">
        <f>'Планирование выручки'!AA5*8/40</f>
        <v>2</v>
      </c>
      <c r="AB16" s="139">
        <f>'Планирование выручки'!AB5*8/40</f>
        <v>2</v>
      </c>
      <c r="AC16" s="139">
        <f>'Планирование выручки'!AC5*8/40</f>
        <v>1</v>
      </c>
      <c r="AD16" s="139">
        <f>'Планирование выручки'!AD5*8/40</f>
        <v>1</v>
      </c>
      <c r="AE16" s="139">
        <f>'Планирование выручки'!AE5*8/40</f>
        <v>0.2</v>
      </c>
      <c r="AF16" s="139">
        <f>'Планирование выручки'!AF5*8/40</f>
        <v>0.2</v>
      </c>
      <c r="AG16" s="139">
        <f>'Планирование выручки'!AG5*8/40</f>
        <v>1</v>
      </c>
      <c r="AH16" s="139">
        <f>'Планирование выручки'!AH5*8/40</f>
        <v>1</v>
      </c>
      <c r="AI16" s="139">
        <f>'Планирование выручки'!AI5*8/40</f>
        <v>2</v>
      </c>
      <c r="AJ16" s="139">
        <f>'Планирование выручки'!AJ5*8/40</f>
        <v>2</v>
      </c>
      <c r="AK16" s="139">
        <f>'Планирование выручки'!AK5*8/40</f>
        <v>2</v>
      </c>
    </row>
    <row r="17" spans="1:37" ht="27" x14ac:dyDescent="0.25">
      <c r="A17" s="58" t="s">
        <v>198</v>
      </c>
      <c r="B17" s="131">
        <v>1</v>
      </c>
      <c r="C17" s="131">
        <f>IF(CEILING(C16,1)&lt;=B17,B17,CEILING(C16,1))</f>
        <v>2</v>
      </c>
      <c r="D17" s="131">
        <f t="shared" ref="D17:AK17" si="2">IF(CEILING(D16,1)&lt;=C17,C17,CEILING(D16,1))</f>
        <v>2</v>
      </c>
      <c r="E17" s="131">
        <f t="shared" si="2"/>
        <v>2</v>
      </c>
      <c r="F17" s="131">
        <f t="shared" si="2"/>
        <v>2</v>
      </c>
      <c r="G17" s="131">
        <f t="shared" si="2"/>
        <v>2</v>
      </c>
      <c r="H17" s="131">
        <f t="shared" si="2"/>
        <v>2</v>
      </c>
      <c r="I17" s="135">
        <f t="shared" si="2"/>
        <v>2</v>
      </c>
      <c r="J17" s="131">
        <f t="shared" si="2"/>
        <v>2</v>
      </c>
      <c r="K17" s="131">
        <f t="shared" si="2"/>
        <v>2</v>
      </c>
      <c r="L17" s="131">
        <f t="shared" si="2"/>
        <v>2</v>
      </c>
      <c r="M17" s="131">
        <f t="shared" si="2"/>
        <v>2</v>
      </c>
      <c r="N17" s="131">
        <f t="shared" si="2"/>
        <v>2</v>
      </c>
      <c r="O17" s="131">
        <f t="shared" si="2"/>
        <v>2</v>
      </c>
      <c r="P17" s="131">
        <f t="shared" si="2"/>
        <v>2</v>
      </c>
      <c r="Q17" s="131">
        <f t="shared" si="2"/>
        <v>2</v>
      </c>
      <c r="R17" s="131">
        <f t="shared" si="2"/>
        <v>2</v>
      </c>
      <c r="S17" s="131">
        <f t="shared" si="2"/>
        <v>2</v>
      </c>
      <c r="T17" s="131">
        <f t="shared" si="2"/>
        <v>2</v>
      </c>
      <c r="U17" s="131">
        <f t="shared" si="2"/>
        <v>2</v>
      </c>
      <c r="V17" s="131">
        <f t="shared" si="2"/>
        <v>2</v>
      </c>
      <c r="W17" s="131">
        <f t="shared" si="2"/>
        <v>2</v>
      </c>
      <c r="X17" s="131">
        <f t="shared" si="2"/>
        <v>2</v>
      </c>
      <c r="Y17" s="131">
        <f t="shared" si="2"/>
        <v>2</v>
      </c>
      <c r="Z17" s="131">
        <f t="shared" si="2"/>
        <v>2</v>
      </c>
      <c r="AA17" s="131">
        <f t="shared" si="2"/>
        <v>2</v>
      </c>
      <c r="AB17" s="131">
        <f t="shared" si="2"/>
        <v>2</v>
      </c>
      <c r="AC17" s="131">
        <f t="shared" si="2"/>
        <v>2</v>
      </c>
      <c r="AD17" s="131">
        <f t="shared" si="2"/>
        <v>2</v>
      </c>
      <c r="AE17" s="131">
        <f t="shared" si="2"/>
        <v>2</v>
      </c>
      <c r="AF17" s="131">
        <f t="shared" si="2"/>
        <v>2</v>
      </c>
      <c r="AG17" s="131">
        <f t="shared" si="2"/>
        <v>2</v>
      </c>
      <c r="AH17" s="131">
        <f t="shared" si="2"/>
        <v>2</v>
      </c>
      <c r="AI17" s="131">
        <f t="shared" si="2"/>
        <v>2</v>
      </c>
      <c r="AJ17" s="131">
        <f t="shared" si="2"/>
        <v>2</v>
      </c>
      <c r="AK17" s="131">
        <f t="shared" si="2"/>
        <v>2</v>
      </c>
    </row>
    <row r="18" spans="1:37" ht="27" x14ac:dyDescent="0.25">
      <c r="A18" s="58" t="s">
        <v>199</v>
      </c>
      <c r="B18" s="131">
        <f>SUM(B17)</f>
        <v>1</v>
      </c>
      <c r="C18" s="131">
        <f t="shared" ref="C18:AK18" si="3">SUM(C17)</f>
        <v>2</v>
      </c>
      <c r="D18" s="131">
        <f t="shared" si="3"/>
        <v>2</v>
      </c>
      <c r="E18" s="131">
        <f t="shared" si="3"/>
        <v>2</v>
      </c>
      <c r="F18" s="131">
        <f t="shared" si="3"/>
        <v>2</v>
      </c>
      <c r="G18" s="131">
        <f t="shared" si="3"/>
        <v>2</v>
      </c>
      <c r="H18" s="131">
        <f t="shared" si="3"/>
        <v>2</v>
      </c>
      <c r="I18" s="135">
        <f t="shared" si="3"/>
        <v>2</v>
      </c>
      <c r="J18" s="131">
        <f t="shared" si="3"/>
        <v>2</v>
      </c>
      <c r="K18" s="131">
        <f t="shared" si="3"/>
        <v>2</v>
      </c>
      <c r="L18" s="131">
        <f t="shared" si="3"/>
        <v>2</v>
      </c>
      <c r="M18" s="131">
        <f t="shared" si="3"/>
        <v>2</v>
      </c>
      <c r="N18" s="131">
        <f t="shared" si="3"/>
        <v>2</v>
      </c>
      <c r="O18" s="131">
        <f t="shared" si="3"/>
        <v>2</v>
      </c>
      <c r="P18" s="131">
        <f t="shared" si="3"/>
        <v>2</v>
      </c>
      <c r="Q18" s="131">
        <f t="shared" si="3"/>
        <v>2</v>
      </c>
      <c r="R18" s="131">
        <f t="shared" si="3"/>
        <v>2</v>
      </c>
      <c r="S18" s="131">
        <f t="shared" si="3"/>
        <v>2</v>
      </c>
      <c r="T18" s="131">
        <f t="shared" si="3"/>
        <v>2</v>
      </c>
      <c r="U18" s="131">
        <f t="shared" si="3"/>
        <v>2</v>
      </c>
      <c r="V18" s="131">
        <f t="shared" si="3"/>
        <v>2</v>
      </c>
      <c r="W18" s="131">
        <f t="shared" si="3"/>
        <v>2</v>
      </c>
      <c r="X18" s="131">
        <f t="shared" si="3"/>
        <v>2</v>
      </c>
      <c r="Y18" s="131">
        <f t="shared" si="3"/>
        <v>2</v>
      </c>
      <c r="Z18" s="131">
        <f t="shared" si="3"/>
        <v>2</v>
      </c>
      <c r="AA18" s="131">
        <f t="shared" si="3"/>
        <v>2</v>
      </c>
      <c r="AB18" s="131">
        <f t="shared" si="3"/>
        <v>2</v>
      </c>
      <c r="AC18" s="131">
        <f t="shared" si="3"/>
        <v>2</v>
      </c>
      <c r="AD18" s="131">
        <f t="shared" si="3"/>
        <v>2</v>
      </c>
      <c r="AE18" s="131">
        <f t="shared" si="3"/>
        <v>2</v>
      </c>
      <c r="AF18" s="131">
        <f t="shared" si="3"/>
        <v>2</v>
      </c>
      <c r="AG18" s="131">
        <f t="shared" si="3"/>
        <v>2</v>
      </c>
      <c r="AH18" s="131">
        <f t="shared" si="3"/>
        <v>2</v>
      </c>
      <c r="AI18" s="131">
        <f t="shared" si="3"/>
        <v>2</v>
      </c>
      <c r="AJ18" s="131">
        <f t="shared" si="3"/>
        <v>2</v>
      </c>
      <c r="AK18" s="131">
        <f t="shared" si="3"/>
        <v>2</v>
      </c>
    </row>
    <row r="19" spans="1:37" ht="3.75" customHeight="1" x14ac:dyDescent="0.25">
      <c r="A19" s="58"/>
      <c r="B19" s="131"/>
      <c r="C19" s="131"/>
      <c r="D19" s="131"/>
      <c r="E19" s="131"/>
      <c r="F19" s="131"/>
      <c r="G19" s="131"/>
      <c r="H19" s="131"/>
      <c r="I19" s="135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</row>
    <row r="20" spans="1:37" ht="27" x14ac:dyDescent="0.25">
      <c r="A20" s="140" t="s">
        <v>200</v>
      </c>
      <c r="B20" s="137"/>
      <c r="C20" s="137"/>
      <c r="D20" s="137"/>
      <c r="E20" s="137"/>
      <c r="F20" s="137"/>
      <c r="G20" s="137"/>
      <c r="H20" s="137"/>
      <c r="I20" s="138"/>
      <c r="J20" s="137"/>
      <c r="K20" s="137"/>
      <c r="L20" s="137"/>
      <c r="M20" s="137"/>
      <c r="N20" s="137"/>
      <c r="O20" s="137"/>
      <c r="P20" s="137"/>
      <c r="Q20" s="137"/>
      <c r="R20" s="138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</row>
    <row r="21" spans="1:37" x14ac:dyDescent="0.25">
      <c r="A21" s="58" t="s">
        <v>201</v>
      </c>
      <c r="B21" s="131">
        <v>1</v>
      </c>
      <c r="C21" s="131">
        <v>1</v>
      </c>
      <c r="D21" s="131">
        <v>1</v>
      </c>
      <c r="E21" s="131">
        <v>1</v>
      </c>
      <c r="F21" s="131">
        <v>1</v>
      </c>
      <c r="G21" s="131">
        <v>1</v>
      </c>
      <c r="H21" s="131">
        <v>1</v>
      </c>
      <c r="I21" s="135">
        <v>1</v>
      </c>
      <c r="J21" s="131">
        <v>1</v>
      </c>
      <c r="K21" s="131">
        <v>1</v>
      </c>
      <c r="L21" s="131">
        <v>1</v>
      </c>
      <c r="M21" s="131">
        <v>1</v>
      </c>
      <c r="N21" s="131">
        <v>1</v>
      </c>
      <c r="O21" s="131">
        <v>1</v>
      </c>
      <c r="P21" s="131">
        <v>1</v>
      </c>
      <c r="Q21" s="131">
        <v>1</v>
      </c>
      <c r="R21" s="131">
        <v>1</v>
      </c>
      <c r="S21" s="131">
        <v>1</v>
      </c>
      <c r="T21" s="131">
        <v>1</v>
      </c>
      <c r="U21" s="131">
        <v>1</v>
      </c>
      <c r="V21" s="131">
        <v>1</v>
      </c>
      <c r="W21" s="131">
        <v>1</v>
      </c>
      <c r="X21" s="131">
        <v>1</v>
      </c>
      <c r="Y21" s="131">
        <v>1</v>
      </c>
      <c r="Z21" s="131">
        <v>1</v>
      </c>
      <c r="AA21" s="131">
        <v>1</v>
      </c>
      <c r="AB21" s="131">
        <v>1</v>
      </c>
      <c r="AC21" s="131">
        <v>1</v>
      </c>
      <c r="AD21" s="131">
        <v>1</v>
      </c>
      <c r="AE21" s="131">
        <v>1</v>
      </c>
      <c r="AF21" s="131">
        <v>1</v>
      </c>
      <c r="AG21" s="131">
        <v>1</v>
      </c>
      <c r="AH21" s="131">
        <v>1</v>
      </c>
      <c r="AI21" s="131">
        <v>1</v>
      </c>
      <c r="AJ21" s="131">
        <v>1</v>
      </c>
      <c r="AK21" s="131">
        <v>1</v>
      </c>
    </row>
    <row r="22" spans="1:37" x14ac:dyDescent="0.25">
      <c r="A22" s="58" t="s">
        <v>202</v>
      </c>
      <c r="B22" s="131">
        <f>FLOOR(B8/6,1)</f>
        <v>0</v>
      </c>
      <c r="C22" s="131">
        <f t="shared" ref="C22:AK22" si="4">FLOOR(C8/6,1)</f>
        <v>0</v>
      </c>
      <c r="D22" s="131">
        <f t="shared" si="4"/>
        <v>0</v>
      </c>
      <c r="E22" s="131">
        <f t="shared" si="4"/>
        <v>0</v>
      </c>
      <c r="F22" s="131">
        <f t="shared" si="4"/>
        <v>0</v>
      </c>
      <c r="G22" s="131">
        <f t="shared" si="4"/>
        <v>0</v>
      </c>
      <c r="H22" s="131">
        <f t="shared" si="4"/>
        <v>0</v>
      </c>
      <c r="I22" s="135">
        <f t="shared" si="4"/>
        <v>0</v>
      </c>
      <c r="J22" s="131">
        <f t="shared" si="4"/>
        <v>0</v>
      </c>
      <c r="K22" s="131">
        <f t="shared" si="4"/>
        <v>0</v>
      </c>
      <c r="L22" s="131">
        <f t="shared" si="4"/>
        <v>0</v>
      </c>
      <c r="M22" s="131">
        <f t="shared" si="4"/>
        <v>0</v>
      </c>
      <c r="N22" s="131">
        <f t="shared" si="4"/>
        <v>0</v>
      </c>
      <c r="O22" s="131">
        <f t="shared" si="4"/>
        <v>0</v>
      </c>
      <c r="P22" s="131">
        <f t="shared" si="4"/>
        <v>0</v>
      </c>
      <c r="Q22" s="131">
        <f t="shared" si="4"/>
        <v>0</v>
      </c>
      <c r="R22" s="131">
        <f t="shared" si="4"/>
        <v>0</v>
      </c>
      <c r="S22" s="131">
        <f t="shared" si="4"/>
        <v>0</v>
      </c>
      <c r="T22" s="131">
        <f t="shared" si="4"/>
        <v>0</v>
      </c>
      <c r="U22" s="131">
        <f t="shared" si="4"/>
        <v>0</v>
      </c>
      <c r="V22" s="131">
        <f t="shared" si="4"/>
        <v>0</v>
      </c>
      <c r="W22" s="131">
        <f t="shared" si="4"/>
        <v>0</v>
      </c>
      <c r="X22" s="131">
        <f t="shared" si="4"/>
        <v>0</v>
      </c>
      <c r="Y22" s="131">
        <f t="shared" si="4"/>
        <v>0</v>
      </c>
      <c r="Z22" s="131">
        <f t="shared" si="4"/>
        <v>0</v>
      </c>
      <c r="AA22" s="131">
        <f t="shared" si="4"/>
        <v>0</v>
      </c>
      <c r="AB22" s="131">
        <f t="shared" si="4"/>
        <v>0</v>
      </c>
      <c r="AC22" s="131">
        <f t="shared" si="4"/>
        <v>0</v>
      </c>
      <c r="AD22" s="131">
        <f t="shared" si="4"/>
        <v>0</v>
      </c>
      <c r="AE22" s="131">
        <f t="shared" si="4"/>
        <v>0</v>
      </c>
      <c r="AF22" s="131">
        <f t="shared" si="4"/>
        <v>0</v>
      </c>
      <c r="AG22" s="131">
        <f t="shared" si="4"/>
        <v>0</v>
      </c>
      <c r="AH22" s="131">
        <f t="shared" si="4"/>
        <v>0</v>
      </c>
      <c r="AI22" s="131">
        <f t="shared" si="4"/>
        <v>0</v>
      </c>
      <c r="AJ22" s="131">
        <f t="shared" si="4"/>
        <v>0</v>
      </c>
      <c r="AK22" s="131">
        <f t="shared" si="4"/>
        <v>0</v>
      </c>
    </row>
    <row r="23" spans="1:37" s="183" customFormat="1" ht="27" x14ac:dyDescent="0.25">
      <c r="A23" s="58" t="s">
        <v>203</v>
      </c>
      <c r="B23" s="131">
        <f>IF(B3&lt;20,0,ROUND(B3/100,0))</f>
        <v>0</v>
      </c>
      <c r="C23" s="131">
        <f t="shared" ref="C23:AK23" si="5">IF(C3&lt;20,0,ROUND(C3/100,0))</f>
        <v>0</v>
      </c>
      <c r="D23" s="131">
        <f t="shared" si="5"/>
        <v>0</v>
      </c>
      <c r="E23" s="131">
        <f t="shared" si="5"/>
        <v>0</v>
      </c>
      <c r="F23" s="131">
        <f t="shared" si="5"/>
        <v>0</v>
      </c>
      <c r="G23" s="131">
        <f t="shared" si="5"/>
        <v>0</v>
      </c>
      <c r="H23" s="131">
        <f t="shared" si="5"/>
        <v>0</v>
      </c>
      <c r="I23" s="131">
        <f t="shared" si="5"/>
        <v>0</v>
      </c>
      <c r="J23" s="131">
        <f t="shared" si="5"/>
        <v>0</v>
      </c>
      <c r="K23" s="131">
        <f t="shared" si="5"/>
        <v>0</v>
      </c>
      <c r="L23" s="131">
        <f t="shared" si="5"/>
        <v>1</v>
      </c>
      <c r="M23" s="131">
        <f t="shared" si="5"/>
        <v>1</v>
      </c>
      <c r="N23" s="131">
        <f t="shared" si="5"/>
        <v>1</v>
      </c>
      <c r="O23" s="131">
        <f t="shared" si="5"/>
        <v>1</v>
      </c>
      <c r="P23" s="131">
        <f t="shared" si="5"/>
        <v>1</v>
      </c>
      <c r="Q23" s="131">
        <f t="shared" si="5"/>
        <v>1</v>
      </c>
      <c r="R23" s="131">
        <f t="shared" si="5"/>
        <v>1</v>
      </c>
      <c r="S23" s="131">
        <f t="shared" si="5"/>
        <v>1</v>
      </c>
      <c r="T23" s="131">
        <f t="shared" si="5"/>
        <v>1</v>
      </c>
      <c r="U23" s="131">
        <f t="shared" si="5"/>
        <v>1</v>
      </c>
      <c r="V23" s="131">
        <f t="shared" si="5"/>
        <v>1</v>
      </c>
      <c r="W23" s="131">
        <f t="shared" si="5"/>
        <v>1</v>
      </c>
      <c r="X23" s="131">
        <f t="shared" si="5"/>
        <v>1</v>
      </c>
      <c r="Y23" s="131">
        <f t="shared" si="5"/>
        <v>1</v>
      </c>
      <c r="Z23" s="131">
        <f t="shared" si="5"/>
        <v>1</v>
      </c>
      <c r="AA23" s="131">
        <f t="shared" si="5"/>
        <v>1</v>
      </c>
      <c r="AB23" s="131">
        <f t="shared" si="5"/>
        <v>2</v>
      </c>
      <c r="AC23" s="131">
        <f t="shared" si="5"/>
        <v>2</v>
      </c>
      <c r="AD23" s="131">
        <f t="shared" si="5"/>
        <v>2</v>
      </c>
      <c r="AE23" s="131">
        <f t="shared" si="5"/>
        <v>2</v>
      </c>
      <c r="AF23" s="131">
        <f t="shared" si="5"/>
        <v>2</v>
      </c>
      <c r="AG23" s="131">
        <f t="shared" si="5"/>
        <v>2</v>
      </c>
      <c r="AH23" s="131">
        <f t="shared" si="5"/>
        <v>2</v>
      </c>
      <c r="AI23" s="131">
        <f t="shared" si="5"/>
        <v>2</v>
      </c>
      <c r="AJ23" s="131">
        <f t="shared" si="5"/>
        <v>2</v>
      </c>
      <c r="AK23" s="131">
        <f t="shared" si="5"/>
        <v>2</v>
      </c>
    </row>
    <row r="24" spans="1:37" s="183" customFormat="1" x14ac:dyDescent="0.25">
      <c r="A24" s="58" t="s">
        <v>204</v>
      </c>
      <c r="B24" s="131">
        <f>IF(B3&lt;50,0,1)</f>
        <v>0</v>
      </c>
      <c r="C24" s="131">
        <f t="shared" ref="C24:AK24" si="6">IF(C3&lt;50,0,1)</f>
        <v>0</v>
      </c>
      <c r="D24" s="131">
        <f t="shared" si="6"/>
        <v>0</v>
      </c>
      <c r="E24" s="131">
        <f t="shared" si="6"/>
        <v>0</v>
      </c>
      <c r="F24" s="131">
        <f t="shared" si="6"/>
        <v>0</v>
      </c>
      <c r="G24" s="131">
        <f t="shared" si="6"/>
        <v>0</v>
      </c>
      <c r="H24" s="131">
        <f t="shared" si="6"/>
        <v>0</v>
      </c>
      <c r="I24" s="135">
        <f t="shared" si="6"/>
        <v>0</v>
      </c>
      <c r="J24" s="131">
        <f t="shared" si="6"/>
        <v>0</v>
      </c>
      <c r="K24" s="131">
        <f t="shared" si="6"/>
        <v>0</v>
      </c>
      <c r="L24" s="131">
        <f t="shared" si="6"/>
        <v>1</v>
      </c>
      <c r="M24" s="131">
        <f t="shared" si="6"/>
        <v>1</v>
      </c>
      <c r="N24" s="131">
        <f t="shared" si="6"/>
        <v>1</v>
      </c>
      <c r="O24" s="131">
        <f t="shared" si="6"/>
        <v>1</v>
      </c>
      <c r="P24" s="131">
        <f t="shared" si="6"/>
        <v>1</v>
      </c>
      <c r="Q24" s="131">
        <f t="shared" si="6"/>
        <v>1</v>
      </c>
      <c r="R24" s="131">
        <f t="shared" si="6"/>
        <v>1</v>
      </c>
      <c r="S24" s="131">
        <f t="shared" si="6"/>
        <v>1</v>
      </c>
      <c r="T24" s="131">
        <f t="shared" si="6"/>
        <v>1</v>
      </c>
      <c r="U24" s="131">
        <f t="shared" si="6"/>
        <v>1</v>
      </c>
      <c r="V24" s="131">
        <f t="shared" si="6"/>
        <v>1</v>
      </c>
      <c r="W24" s="131">
        <f t="shared" si="6"/>
        <v>1</v>
      </c>
      <c r="X24" s="131">
        <f t="shared" si="6"/>
        <v>1</v>
      </c>
      <c r="Y24" s="131">
        <f t="shared" si="6"/>
        <v>1</v>
      </c>
      <c r="Z24" s="131">
        <f t="shared" si="6"/>
        <v>1</v>
      </c>
      <c r="AA24" s="131">
        <f t="shared" si="6"/>
        <v>1</v>
      </c>
      <c r="AB24" s="131">
        <f t="shared" si="6"/>
        <v>1</v>
      </c>
      <c r="AC24" s="131">
        <f t="shared" si="6"/>
        <v>1</v>
      </c>
      <c r="AD24" s="131">
        <f t="shared" si="6"/>
        <v>1</v>
      </c>
      <c r="AE24" s="131">
        <f t="shared" si="6"/>
        <v>1</v>
      </c>
      <c r="AF24" s="131">
        <f t="shared" si="6"/>
        <v>1</v>
      </c>
      <c r="AG24" s="131">
        <f t="shared" si="6"/>
        <v>1</v>
      </c>
      <c r="AH24" s="131">
        <f t="shared" si="6"/>
        <v>1</v>
      </c>
      <c r="AI24" s="131">
        <f t="shared" si="6"/>
        <v>1</v>
      </c>
      <c r="AJ24" s="131">
        <f t="shared" si="6"/>
        <v>1</v>
      </c>
      <c r="AK24" s="131">
        <f t="shared" si="6"/>
        <v>1</v>
      </c>
    </row>
    <row r="25" spans="1:37" s="183" customFormat="1" ht="12.75" customHeight="1" x14ac:dyDescent="0.25">
      <c r="A25" s="58" t="s">
        <v>205</v>
      </c>
      <c r="B25" s="131">
        <f>IF(B3&lt;20,0,ROUNDUP(B3/100,0))</f>
        <v>0</v>
      </c>
      <c r="C25" s="131">
        <f t="shared" ref="C25:AK25" si="7">IF(C3&lt;20,0,ROUNDUP(C3/100,0))</f>
        <v>0</v>
      </c>
      <c r="D25" s="131">
        <f t="shared" si="7"/>
        <v>0</v>
      </c>
      <c r="E25" s="131">
        <f t="shared" si="7"/>
        <v>0</v>
      </c>
      <c r="F25" s="131">
        <f t="shared" si="7"/>
        <v>0</v>
      </c>
      <c r="G25" s="131">
        <f t="shared" si="7"/>
        <v>1</v>
      </c>
      <c r="H25" s="131">
        <f t="shared" si="7"/>
        <v>1</v>
      </c>
      <c r="I25" s="135">
        <f t="shared" si="7"/>
        <v>1</v>
      </c>
      <c r="J25" s="131">
        <f t="shared" si="7"/>
        <v>1</v>
      </c>
      <c r="K25" s="131">
        <f t="shared" si="7"/>
        <v>1</v>
      </c>
      <c r="L25" s="131">
        <f t="shared" si="7"/>
        <v>1</v>
      </c>
      <c r="M25" s="131">
        <f t="shared" si="7"/>
        <v>1</v>
      </c>
      <c r="N25" s="131">
        <f t="shared" si="7"/>
        <v>1</v>
      </c>
      <c r="O25" s="131">
        <f t="shared" si="7"/>
        <v>1</v>
      </c>
      <c r="P25" s="131">
        <f t="shared" si="7"/>
        <v>1</v>
      </c>
      <c r="Q25" s="131">
        <f t="shared" si="7"/>
        <v>1</v>
      </c>
      <c r="R25" s="131">
        <f t="shared" si="7"/>
        <v>1</v>
      </c>
      <c r="S25" s="131">
        <f t="shared" si="7"/>
        <v>1</v>
      </c>
      <c r="T25" s="131">
        <f t="shared" si="7"/>
        <v>1</v>
      </c>
      <c r="U25" s="131">
        <f t="shared" si="7"/>
        <v>2</v>
      </c>
      <c r="V25" s="131">
        <f t="shared" si="7"/>
        <v>2</v>
      </c>
      <c r="W25" s="131">
        <f t="shared" si="7"/>
        <v>2</v>
      </c>
      <c r="X25" s="131">
        <f t="shared" si="7"/>
        <v>2</v>
      </c>
      <c r="Y25" s="131">
        <f t="shared" si="7"/>
        <v>2</v>
      </c>
      <c r="Z25" s="131">
        <f t="shared" si="7"/>
        <v>2</v>
      </c>
      <c r="AA25" s="131">
        <f t="shared" si="7"/>
        <v>2</v>
      </c>
      <c r="AB25" s="131">
        <f t="shared" si="7"/>
        <v>2</v>
      </c>
      <c r="AC25" s="131">
        <f t="shared" si="7"/>
        <v>2</v>
      </c>
      <c r="AD25" s="131">
        <f t="shared" si="7"/>
        <v>2</v>
      </c>
      <c r="AE25" s="131">
        <f t="shared" si="7"/>
        <v>2</v>
      </c>
      <c r="AF25" s="131">
        <f t="shared" si="7"/>
        <v>2</v>
      </c>
      <c r="AG25" s="131">
        <f t="shared" si="7"/>
        <v>2</v>
      </c>
      <c r="AH25" s="131">
        <f t="shared" si="7"/>
        <v>2</v>
      </c>
      <c r="AI25" s="131">
        <f t="shared" si="7"/>
        <v>2</v>
      </c>
      <c r="AJ25" s="131">
        <f t="shared" si="7"/>
        <v>2</v>
      </c>
      <c r="AK25" s="131">
        <f t="shared" si="7"/>
        <v>3</v>
      </c>
    </row>
    <row r="26" spans="1:37" s="183" customFormat="1" ht="39.75" customHeight="1" x14ac:dyDescent="0.25">
      <c r="A26" s="134" t="s">
        <v>206</v>
      </c>
      <c r="B26" s="131">
        <f>SUM(B21:B25)</f>
        <v>1</v>
      </c>
      <c r="C26" s="131">
        <f t="shared" ref="C26:AK26" si="8">SUM(C21:C25)</f>
        <v>1</v>
      </c>
      <c r="D26" s="131">
        <f t="shared" si="8"/>
        <v>1</v>
      </c>
      <c r="E26" s="131">
        <f t="shared" si="8"/>
        <v>1</v>
      </c>
      <c r="F26" s="131">
        <f t="shared" si="8"/>
        <v>1</v>
      </c>
      <c r="G26" s="131">
        <f t="shared" si="8"/>
        <v>2</v>
      </c>
      <c r="H26" s="131">
        <f t="shared" si="8"/>
        <v>2</v>
      </c>
      <c r="I26" s="135">
        <f t="shared" si="8"/>
        <v>2</v>
      </c>
      <c r="J26" s="131">
        <f t="shared" si="8"/>
        <v>2</v>
      </c>
      <c r="K26" s="131">
        <f t="shared" si="8"/>
        <v>2</v>
      </c>
      <c r="L26" s="131">
        <f t="shared" si="8"/>
        <v>4</v>
      </c>
      <c r="M26" s="131">
        <f t="shared" si="8"/>
        <v>4</v>
      </c>
      <c r="N26" s="131">
        <f t="shared" si="8"/>
        <v>4</v>
      </c>
      <c r="O26" s="131">
        <f t="shared" si="8"/>
        <v>4</v>
      </c>
      <c r="P26" s="131">
        <f t="shared" si="8"/>
        <v>4</v>
      </c>
      <c r="Q26" s="131">
        <f t="shared" si="8"/>
        <v>4</v>
      </c>
      <c r="R26" s="131">
        <f t="shared" si="8"/>
        <v>4</v>
      </c>
      <c r="S26" s="131">
        <f t="shared" si="8"/>
        <v>4</v>
      </c>
      <c r="T26" s="131">
        <f t="shared" si="8"/>
        <v>4</v>
      </c>
      <c r="U26" s="131">
        <f t="shared" si="8"/>
        <v>5</v>
      </c>
      <c r="V26" s="131">
        <f t="shared" si="8"/>
        <v>5</v>
      </c>
      <c r="W26" s="131">
        <f t="shared" si="8"/>
        <v>5</v>
      </c>
      <c r="X26" s="131">
        <f t="shared" si="8"/>
        <v>5</v>
      </c>
      <c r="Y26" s="131">
        <f t="shared" si="8"/>
        <v>5</v>
      </c>
      <c r="Z26" s="131">
        <f t="shared" si="8"/>
        <v>5</v>
      </c>
      <c r="AA26" s="131">
        <f t="shared" si="8"/>
        <v>5</v>
      </c>
      <c r="AB26" s="131">
        <f t="shared" si="8"/>
        <v>6</v>
      </c>
      <c r="AC26" s="131">
        <f t="shared" si="8"/>
        <v>6</v>
      </c>
      <c r="AD26" s="131">
        <f t="shared" si="8"/>
        <v>6</v>
      </c>
      <c r="AE26" s="131">
        <f t="shared" si="8"/>
        <v>6</v>
      </c>
      <c r="AF26" s="131">
        <f t="shared" si="8"/>
        <v>6</v>
      </c>
      <c r="AG26" s="131">
        <f t="shared" si="8"/>
        <v>6</v>
      </c>
      <c r="AH26" s="131">
        <f t="shared" si="8"/>
        <v>6</v>
      </c>
      <c r="AI26" s="131">
        <f t="shared" si="8"/>
        <v>6</v>
      </c>
      <c r="AJ26" s="131">
        <f t="shared" si="8"/>
        <v>6</v>
      </c>
      <c r="AK26" s="131">
        <f t="shared" si="8"/>
        <v>7</v>
      </c>
    </row>
    <row r="27" spans="1:37" s="183" customFormat="1" ht="5.25" customHeight="1" x14ac:dyDescent="0.25">
      <c r="A27" s="58"/>
      <c r="B27" s="131"/>
      <c r="C27" s="131"/>
      <c r="D27" s="131"/>
      <c r="E27" s="131"/>
      <c r="F27" s="131"/>
      <c r="G27" s="131"/>
      <c r="H27" s="131"/>
      <c r="I27" s="135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</row>
    <row r="28" spans="1:37" s="183" customFormat="1" ht="25.5" customHeight="1" x14ac:dyDescent="0.25">
      <c r="A28" s="58" t="s">
        <v>207</v>
      </c>
      <c r="B28" s="131">
        <f>B13+B18+B26</f>
        <v>2</v>
      </c>
      <c r="C28" s="131">
        <f t="shared" ref="C28:AK28" si="9">C13+C18+C26</f>
        <v>5</v>
      </c>
      <c r="D28" s="131">
        <f t="shared" si="9"/>
        <v>5</v>
      </c>
      <c r="E28" s="131">
        <f t="shared" si="9"/>
        <v>6</v>
      </c>
      <c r="F28" s="131">
        <f t="shared" si="9"/>
        <v>6</v>
      </c>
      <c r="G28" s="131">
        <f t="shared" si="9"/>
        <v>7</v>
      </c>
      <c r="H28" s="131">
        <f t="shared" si="9"/>
        <v>8</v>
      </c>
      <c r="I28" s="135">
        <f t="shared" si="9"/>
        <v>9</v>
      </c>
      <c r="J28" s="131">
        <f t="shared" si="9"/>
        <v>9</v>
      </c>
      <c r="K28" s="131">
        <f t="shared" si="9"/>
        <v>11</v>
      </c>
      <c r="L28" s="131">
        <f t="shared" si="9"/>
        <v>14</v>
      </c>
      <c r="M28" s="131">
        <f t="shared" si="9"/>
        <v>16</v>
      </c>
      <c r="N28" s="131">
        <f t="shared" si="9"/>
        <v>16</v>
      </c>
      <c r="O28" s="131">
        <f t="shared" si="9"/>
        <v>18</v>
      </c>
      <c r="P28" s="131">
        <f t="shared" si="9"/>
        <v>19</v>
      </c>
      <c r="Q28" s="131">
        <f t="shared" si="9"/>
        <v>19</v>
      </c>
      <c r="R28" s="131">
        <f t="shared" si="9"/>
        <v>19</v>
      </c>
      <c r="S28" s="131">
        <f t="shared" si="9"/>
        <v>20</v>
      </c>
      <c r="T28" s="131">
        <f t="shared" si="9"/>
        <v>21</v>
      </c>
      <c r="U28" s="131">
        <f t="shared" si="9"/>
        <v>22</v>
      </c>
      <c r="V28" s="131">
        <f t="shared" si="9"/>
        <v>22</v>
      </c>
      <c r="W28" s="131">
        <f t="shared" si="9"/>
        <v>24</v>
      </c>
      <c r="X28" s="131">
        <f t="shared" si="9"/>
        <v>25</v>
      </c>
      <c r="Y28" s="131">
        <f t="shared" si="9"/>
        <v>27</v>
      </c>
      <c r="Z28" s="131">
        <f t="shared" si="9"/>
        <v>27</v>
      </c>
      <c r="AA28" s="131">
        <f t="shared" si="9"/>
        <v>29</v>
      </c>
      <c r="AB28" s="131">
        <f t="shared" si="9"/>
        <v>31</v>
      </c>
      <c r="AC28" s="131">
        <f t="shared" si="9"/>
        <v>31</v>
      </c>
      <c r="AD28" s="131">
        <f t="shared" si="9"/>
        <v>31</v>
      </c>
      <c r="AE28" s="131">
        <f t="shared" si="9"/>
        <v>32</v>
      </c>
      <c r="AF28" s="131">
        <f t="shared" si="9"/>
        <v>33</v>
      </c>
      <c r="AG28" s="131">
        <f t="shared" si="9"/>
        <v>33</v>
      </c>
      <c r="AH28" s="131">
        <f t="shared" si="9"/>
        <v>33</v>
      </c>
      <c r="AI28" s="131">
        <f t="shared" si="9"/>
        <v>35</v>
      </c>
      <c r="AJ28" s="131">
        <f t="shared" si="9"/>
        <v>36</v>
      </c>
      <c r="AK28" s="131">
        <f t="shared" si="9"/>
        <v>39</v>
      </c>
    </row>
    <row r="29" spans="1:37" s="183" customFormat="1" ht="11.25" customHeight="1" x14ac:dyDescent="0.25">
      <c r="A29" s="134" t="s">
        <v>208</v>
      </c>
      <c r="B29" s="131"/>
      <c r="C29" s="131"/>
      <c r="D29" s="131"/>
      <c r="E29" s="131"/>
      <c r="F29" s="131"/>
      <c r="G29" s="131"/>
      <c r="H29" s="131"/>
      <c r="I29" s="135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</row>
    <row r="30" spans="1:37" s="183" customFormat="1" ht="27" customHeight="1" x14ac:dyDescent="0.25">
      <c r="A30" s="58" t="s">
        <v>209</v>
      </c>
      <c r="B30" s="131">
        <f>B28-B25</f>
        <v>2</v>
      </c>
      <c r="C30" s="131">
        <f t="shared" ref="C30:AK30" si="10">C28-C25</f>
        <v>5</v>
      </c>
      <c r="D30" s="131">
        <f t="shared" si="10"/>
        <v>5</v>
      </c>
      <c r="E30" s="131">
        <f t="shared" si="10"/>
        <v>6</v>
      </c>
      <c r="F30" s="131">
        <f t="shared" si="10"/>
        <v>6</v>
      </c>
      <c r="G30" s="131">
        <f t="shared" si="10"/>
        <v>6</v>
      </c>
      <c r="H30" s="131">
        <f t="shared" si="10"/>
        <v>7</v>
      </c>
      <c r="I30" s="135">
        <f t="shared" si="10"/>
        <v>8</v>
      </c>
      <c r="J30" s="131">
        <f t="shared" si="10"/>
        <v>8</v>
      </c>
      <c r="K30" s="131">
        <f t="shared" si="10"/>
        <v>10</v>
      </c>
      <c r="L30" s="131">
        <f t="shared" si="10"/>
        <v>13</v>
      </c>
      <c r="M30" s="131">
        <f t="shared" si="10"/>
        <v>15</v>
      </c>
      <c r="N30" s="131">
        <f t="shared" si="10"/>
        <v>15</v>
      </c>
      <c r="O30" s="131">
        <f t="shared" si="10"/>
        <v>17</v>
      </c>
      <c r="P30" s="131">
        <f t="shared" si="10"/>
        <v>18</v>
      </c>
      <c r="Q30" s="131">
        <f t="shared" si="10"/>
        <v>18</v>
      </c>
      <c r="R30" s="131">
        <f t="shared" si="10"/>
        <v>18</v>
      </c>
      <c r="S30" s="131">
        <f t="shared" si="10"/>
        <v>19</v>
      </c>
      <c r="T30" s="131">
        <f t="shared" si="10"/>
        <v>20</v>
      </c>
      <c r="U30" s="131">
        <f t="shared" si="10"/>
        <v>20</v>
      </c>
      <c r="V30" s="131">
        <f t="shared" si="10"/>
        <v>20</v>
      </c>
      <c r="W30" s="131">
        <f t="shared" si="10"/>
        <v>22</v>
      </c>
      <c r="X30" s="131">
        <f t="shared" si="10"/>
        <v>23</v>
      </c>
      <c r="Y30" s="131">
        <f t="shared" si="10"/>
        <v>25</v>
      </c>
      <c r="Z30" s="131">
        <f t="shared" si="10"/>
        <v>25</v>
      </c>
      <c r="AA30" s="131">
        <f t="shared" si="10"/>
        <v>27</v>
      </c>
      <c r="AB30" s="131">
        <f t="shared" si="10"/>
        <v>29</v>
      </c>
      <c r="AC30" s="131">
        <f t="shared" si="10"/>
        <v>29</v>
      </c>
      <c r="AD30" s="131">
        <f t="shared" si="10"/>
        <v>29</v>
      </c>
      <c r="AE30" s="131">
        <f t="shared" si="10"/>
        <v>30</v>
      </c>
      <c r="AF30" s="131">
        <f t="shared" si="10"/>
        <v>31</v>
      </c>
      <c r="AG30" s="131">
        <f t="shared" si="10"/>
        <v>31</v>
      </c>
      <c r="AH30" s="131">
        <f t="shared" si="10"/>
        <v>31</v>
      </c>
      <c r="AI30" s="131">
        <f t="shared" si="10"/>
        <v>33</v>
      </c>
      <c r="AJ30" s="131">
        <f t="shared" si="10"/>
        <v>34</v>
      </c>
      <c r="AK30" s="131">
        <f t="shared" si="10"/>
        <v>36</v>
      </c>
    </row>
    <row r="31" spans="1:37" s="183" customFormat="1" ht="27.75" customHeight="1" x14ac:dyDescent="0.3">
      <c r="A31" s="238" t="s">
        <v>210</v>
      </c>
      <c r="B31" s="238"/>
      <c r="C31" s="238"/>
      <c r="D31" s="238"/>
      <c r="E31" s="238"/>
      <c r="F31" s="238"/>
      <c r="G31" s="238"/>
      <c r="H31" s="238"/>
      <c r="I31" s="238"/>
      <c r="J31" s="127"/>
      <c r="K31" s="126"/>
      <c r="L31" s="126"/>
      <c r="M31" s="126"/>
      <c r="N31" s="126"/>
      <c r="O31" s="126"/>
      <c r="P31" s="126"/>
      <c r="Q31" s="126"/>
      <c r="R31" s="127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</row>
    <row r="32" spans="1:37" s="183" customFormat="1" ht="18" customHeight="1" x14ac:dyDescent="0.25">
      <c r="A32" s="140" t="s">
        <v>211</v>
      </c>
      <c r="B32" s="140"/>
      <c r="C32" s="140"/>
      <c r="D32" s="140"/>
      <c r="E32" s="140"/>
      <c r="F32" s="140"/>
      <c r="G32" s="140"/>
      <c r="H32" s="140"/>
      <c r="I32" s="141"/>
      <c r="J32" s="127"/>
      <c r="K32" s="126"/>
      <c r="L32" s="126"/>
      <c r="M32" s="126"/>
      <c r="N32" s="126"/>
      <c r="O32" s="126"/>
      <c r="P32" s="126"/>
      <c r="Q32" s="126"/>
      <c r="R32" s="127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</row>
    <row r="33" spans="1:37" x14ac:dyDescent="0.25">
      <c r="A33" s="54" t="s">
        <v>212</v>
      </c>
      <c r="B33" s="2">
        <f>B10*'Исходные данные'!$F$4</f>
        <v>0</v>
      </c>
      <c r="C33" s="2">
        <f>C10*'Исходные данные'!$F$4</f>
        <v>45000</v>
      </c>
      <c r="D33" s="2">
        <f>D10*'Исходные данные'!$F$4</f>
        <v>45000</v>
      </c>
      <c r="E33" s="2">
        <f>E10*'Исходные данные'!$F$4</f>
        <v>45000</v>
      </c>
      <c r="F33" s="2">
        <f>F10*'Исходные данные'!$F$4</f>
        <v>45000</v>
      </c>
      <c r="G33" s="2">
        <f>G10*'Исходные данные'!$F$4</f>
        <v>45000</v>
      </c>
      <c r="H33" s="2">
        <f>H10*'Исходные данные'!$F$4</f>
        <v>45000</v>
      </c>
      <c r="I33" s="2">
        <f>I10*'Исходные данные'!$F$4</f>
        <v>45000</v>
      </c>
      <c r="J33" s="2">
        <f>J10*'Исходные данные'!$F$4</f>
        <v>45000</v>
      </c>
      <c r="K33" s="2">
        <f>K10*'Исходные данные'!$F$4</f>
        <v>90000</v>
      </c>
      <c r="L33" s="2">
        <f>L10*'Исходные данные'!$F$4</f>
        <v>90000</v>
      </c>
      <c r="M33" s="2">
        <f>M10*'Исходные данные'!$F$4</f>
        <v>90000</v>
      </c>
      <c r="N33" s="2">
        <f>N10*'Исходные данные'!$F$4</f>
        <v>90000</v>
      </c>
      <c r="O33" s="2">
        <f>O10*'Исходные данные'!$F$4</f>
        <v>135000</v>
      </c>
      <c r="P33" s="2">
        <f>P10*'Исходные данные'!$F$4</f>
        <v>135000</v>
      </c>
      <c r="Q33" s="2">
        <f>Q10*'Исходные данные'!$F$4</f>
        <v>135000</v>
      </c>
      <c r="R33" s="2">
        <f>R10*'Исходные данные'!$F$4</f>
        <v>135000</v>
      </c>
      <c r="S33" s="2">
        <f>S10*'Исходные данные'!$F$4</f>
        <v>135000</v>
      </c>
      <c r="T33" s="2">
        <f>T10*'Исходные данные'!$F$4</f>
        <v>135000</v>
      </c>
      <c r="U33" s="2">
        <f>U10*'Исходные данные'!$F$4</f>
        <v>135000</v>
      </c>
      <c r="V33" s="2">
        <f>V10*'Исходные данные'!$F$4</f>
        <v>135000</v>
      </c>
      <c r="W33" s="2">
        <f>W10*'Исходные данные'!$F$4</f>
        <v>180000</v>
      </c>
      <c r="X33" s="2">
        <f>X10*'Исходные данные'!$F$4</f>
        <v>180000</v>
      </c>
      <c r="Y33" s="2">
        <f>Y10*'Исходные данные'!$F$4</f>
        <v>180000</v>
      </c>
      <c r="Z33" s="2">
        <f>Z10*'Исходные данные'!$F$4</f>
        <v>180000</v>
      </c>
      <c r="AA33" s="2">
        <f>AA10*'Исходные данные'!$F$4</f>
        <v>225000</v>
      </c>
      <c r="AB33" s="2">
        <f>AB10*'Исходные данные'!$F$4</f>
        <v>225000</v>
      </c>
      <c r="AC33" s="2">
        <f>AC10*'Исходные данные'!$F$4</f>
        <v>225000</v>
      </c>
      <c r="AD33" s="2">
        <f>AD10*'Исходные данные'!$F$4</f>
        <v>225000</v>
      </c>
      <c r="AE33" s="2">
        <f>AE10*'Исходные данные'!$F$4</f>
        <v>225000</v>
      </c>
      <c r="AF33" s="2">
        <f>AF10*'Исходные данные'!$F$4</f>
        <v>225000</v>
      </c>
      <c r="AG33" s="2">
        <f>AG10*'Исходные данные'!$F$4</f>
        <v>225000</v>
      </c>
      <c r="AH33" s="2">
        <f>AH10*'Исходные данные'!$F$4</f>
        <v>225000</v>
      </c>
      <c r="AI33" s="2">
        <f>AI10*'Исходные данные'!$F$4</f>
        <v>270000</v>
      </c>
      <c r="AJ33" s="2">
        <f>AJ10*'Исходные данные'!$F$4</f>
        <v>270000</v>
      </c>
      <c r="AK33" s="2">
        <f>AK10*'Исходные данные'!$F$4</f>
        <v>270000</v>
      </c>
    </row>
    <row r="34" spans="1:37" x14ac:dyDescent="0.25">
      <c r="A34" s="54" t="s">
        <v>213</v>
      </c>
      <c r="B34" s="2">
        <f>B11*'Исходные данные'!$F$5</f>
        <v>0</v>
      </c>
      <c r="C34" s="2">
        <f>C11*'Исходные данные'!$F$5</f>
        <v>0</v>
      </c>
      <c r="D34" s="2">
        <f>D11*'Исходные данные'!$F$5</f>
        <v>0</v>
      </c>
      <c r="E34" s="2">
        <f>E11*'Исходные данные'!$F$5</f>
        <v>0</v>
      </c>
      <c r="F34" s="2">
        <f>F11*'Исходные данные'!$F$5</f>
        <v>0</v>
      </c>
      <c r="G34" s="2">
        <f>G11*'Исходные данные'!$F$5</f>
        <v>0</v>
      </c>
      <c r="H34" s="2">
        <f>H11*'Исходные данные'!$F$5</f>
        <v>30000</v>
      </c>
      <c r="I34" s="2">
        <f>I11*'Исходные данные'!$F$5</f>
        <v>30000</v>
      </c>
      <c r="J34" s="2">
        <f>J11*'Исходные данные'!$F$5</f>
        <v>30000</v>
      </c>
      <c r="K34" s="2">
        <f>K11*'Исходные данные'!$F$5</f>
        <v>30000</v>
      </c>
      <c r="L34" s="2">
        <f>L11*'Исходные данные'!$F$5</f>
        <v>30000</v>
      </c>
      <c r="M34" s="2">
        <f>M11*'Исходные данные'!$F$5</f>
        <v>60000</v>
      </c>
      <c r="N34" s="2">
        <f>N11*'Исходные данные'!$F$5</f>
        <v>60000</v>
      </c>
      <c r="O34" s="2">
        <f>O11*'Исходные данные'!$F$5</f>
        <v>60000</v>
      </c>
      <c r="P34" s="2">
        <f>P11*'Исходные данные'!$F$5</f>
        <v>60000</v>
      </c>
      <c r="Q34" s="2">
        <f>Q11*'Исходные данные'!$F$5</f>
        <v>60000</v>
      </c>
      <c r="R34" s="2">
        <f>R11*'Исходные данные'!$F$5</f>
        <v>60000</v>
      </c>
      <c r="S34" s="2">
        <f>S11*'Исходные данные'!$F$5</f>
        <v>90000</v>
      </c>
      <c r="T34" s="2">
        <f>T11*'Исходные данные'!$F$5</f>
        <v>90000</v>
      </c>
      <c r="U34" s="2">
        <f>U11*'Исходные данные'!$F$5</f>
        <v>90000</v>
      </c>
      <c r="V34" s="2">
        <f>V11*'Исходные данные'!$F$5</f>
        <v>90000</v>
      </c>
      <c r="W34" s="2">
        <f>W11*'Исходные данные'!$F$5</f>
        <v>90000</v>
      </c>
      <c r="X34" s="2">
        <f>X11*'Исходные данные'!$F$5</f>
        <v>90000</v>
      </c>
      <c r="Y34" s="2">
        <f>Y11*'Исходные данные'!$F$5</f>
        <v>120000</v>
      </c>
      <c r="Z34" s="2">
        <f>Z11*'Исходные данные'!$F$5</f>
        <v>120000</v>
      </c>
      <c r="AA34" s="2">
        <f>AA11*'Исходные данные'!$F$5</f>
        <v>120000</v>
      </c>
      <c r="AB34" s="2">
        <f>AB11*'Исходные данные'!$F$5</f>
        <v>120000</v>
      </c>
      <c r="AC34" s="2">
        <f>AC11*'Исходные данные'!$F$5</f>
        <v>120000</v>
      </c>
      <c r="AD34" s="2">
        <f>AD11*'Исходные данные'!$F$5</f>
        <v>120000</v>
      </c>
      <c r="AE34" s="2">
        <f>AE11*'Исходные данные'!$F$5</f>
        <v>150000</v>
      </c>
      <c r="AF34" s="2">
        <f>AF11*'Исходные данные'!$F$5</f>
        <v>150000</v>
      </c>
      <c r="AG34" s="2">
        <f>AG11*'Исходные данные'!$F$5</f>
        <v>150000</v>
      </c>
      <c r="AH34" s="2">
        <f>AH11*'Исходные данные'!$F$5</f>
        <v>150000</v>
      </c>
      <c r="AI34" s="2">
        <f>AI11*'Исходные данные'!$F$5</f>
        <v>150000</v>
      </c>
      <c r="AJ34" s="2">
        <f>AJ11*'Исходные данные'!$F$5</f>
        <v>150000</v>
      </c>
      <c r="AK34" s="2">
        <f>AK11*'Исходные данные'!$F$5</f>
        <v>180000</v>
      </c>
    </row>
    <row r="35" spans="1:37" x14ac:dyDescent="0.25">
      <c r="A35" s="54" t="s">
        <v>214</v>
      </c>
      <c r="B35" s="2">
        <f>B12*'Исходные данные'!$F$6</f>
        <v>0</v>
      </c>
      <c r="C35" s="2">
        <f>C12*'Исходные данные'!$F$6</f>
        <v>20000</v>
      </c>
      <c r="D35" s="2">
        <f>D12*'Исходные данные'!$F$6</f>
        <v>20000</v>
      </c>
      <c r="E35" s="2">
        <f>E12*'Исходные данные'!$F$6</f>
        <v>40000</v>
      </c>
      <c r="F35" s="2">
        <f>F12*'Исходные данные'!$F$6</f>
        <v>40000</v>
      </c>
      <c r="G35" s="2">
        <f>G12*'Исходные данные'!$F$6</f>
        <v>40000</v>
      </c>
      <c r="H35" s="2">
        <f>H12*'Исходные данные'!$F$6</f>
        <v>40000</v>
      </c>
      <c r="I35" s="2">
        <f>I12*'Исходные данные'!$F$6</f>
        <v>60000</v>
      </c>
      <c r="J35" s="2">
        <f>J12*'Исходные данные'!$F$6</f>
        <v>60000</v>
      </c>
      <c r="K35" s="2">
        <f>K12*'Исходные данные'!$F$6</f>
        <v>80000</v>
      </c>
      <c r="L35" s="2">
        <f>L12*'Исходные данные'!$F$6</f>
        <v>100000</v>
      </c>
      <c r="M35" s="2">
        <f>M12*'Исходные данные'!$F$6</f>
        <v>120000</v>
      </c>
      <c r="N35" s="2">
        <f>N12*'Исходные данные'!$F$6</f>
        <v>120000</v>
      </c>
      <c r="O35" s="2">
        <f>O12*'Исходные данные'!$F$6</f>
        <v>140000</v>
      </c>
      <c r="P35" s="2">
        <f>P12*'Исходные данные'!$F$6</f>
        <v>160000</v>
      </c>
      <c r="Q35" s="2">
        <f>Q12*'Исходные данные'!$F$6</f>
        <v>160000</v>
      </c>
      <c r="R35" s="2">
        <f>R12*'Исходные данные'!$F$6</f>
        <v>160000</v>
      </c>
      <c r="S35" s="2">
        <f>S12*'Исходные данные'!$F$6</f>
        <v>160000</v>
      </c>
      <c r="T35" s="2">
        <f>T12*'Исходные данные'!$F$6</f>
        <v>180000</v>
      </c>
      <c r="U35" s="2">
        <f>U12*'Исходные данные'!$F$6</f>
        <v>180000</v>
      </c>
      <c r="V35" s="2">
        <f>V12*'Исходные данные'!$F$6</f>
        <v>180000</v>
      </c>
      <c r="W35" s="2">
        <f>W12*'Исходные данные'!$F$6</f>
        <v>200000</v>
      </c>
      <c r="X35" s="2">
        <f>X12*'Исходные данные'!$F$6</f>
        <v>220000</v>
      </c>
      <c r="Y35" s="2">
        <f>Y12*'Исходные данные'!$F$6</f>
        <v>240000</v>
      </c>
      <c r="Z35" s="2">
        <f>Z12*'Исходные данные'!$F$6</f>
        <v>240000</v>
      </c>
      <c r="AA35" s="2">
        <f>AA12*'Исходные данные'!$F$6</f>
        <v>260000</v>
      </c>
      <c r="AB35" s="2">
        <f>AB12*'Исходные данные'!$F$6</f>
        <v>280000</v>
      </c>
      <c r="AC35" s="2">
        <f>AC12*'Исходные данные'!$F$6</f>
        <v>280000</v>
      </c>
      <c r="AD35" s="2">
        <f>AD12*'Исходные данные'!$F$6</f>
        <v>280000</v>
      </c>
      <c r="AE35" s="2">
        <f>AE12*'Исходные данные'!$F$6</f>
        <v>280000</v>
      </c>
      <c r="AF35" s="2">
        <f>AF12*'Исходные данные'!$F$6</f>
        <v>300000</v>
      </c>
      <c r="AG35" s="2">
        <f>AG12*'Исходные данные'!$F$6</f>
        <v>300000</v>
      </c>
      <c r="AH35" s="2">
        <f>AH12*'Исходные данные'!$F$6</f>
        <v>300000</v>
      </c>
      <c r="AI35" s="2">
        <f>AI12*'Исходные данные'!$F$6</f>
        <v>320000</v>
      </c>
      <c r="AJ35" s="2">
        <f>AJ12*'Исходные данные'!$F$6</f>
        <v>340000</v>
      </c>
      <c r="AK35" s="2">
        <f>AK12*'Исходные данные'!$F$6</f>
        <v>360000</v>
      </c>
    </row>
    <row r="36" spans="1:37" ht="27" x14ac:dyDescent="0.25">
      <c r="A36" s="134" t="s">
        <v>215</v>
      </c>
      <c r="B36" s="2">
        <f>SUM(B33:B35)</f>
        <v>0</v>
      </c>
      <c r="C36" s="2">
        <f t="shared" ref="C36:AK36" si="11">SUM(C33:C35)</f>
        <v>65000</v>
      </c>
      <c r="D36" s="2">
        <f t="shared" si="11"/>
        <v>65000</v>
      </c>
      <c r="E36" s="2">
        <f t="shared" si="11"/>
        <v>85000</v>
      </c>
      <c r="F36" s="2">
        <f t="shared" si="11"/>
        <v>85000</v>
      </c>
      <c r="G36" s="2">
        <f t="shared" si="11"/>
        <v>85000</v>
      </c>
      <c r="H36" s="2">
        <f t="shared" si="11"/>
        <v>115000</v>
      </c>
      <c r="I36" s="129">
        <f t="shared" si="11"/>
        <v>135000</v>
      </c>
      <c r="J36" s="2">
        <f t="shared" si="11"/>
        <v>135000</v>
      </c>
      <c r="K36" s="2">
        <f t="shared" si="11"/>
        <v>200000</v>
      </c>
      <c r="L36" s="2">
        <f t="shared" si="11"/>
        <v>220000</v>
      </c>
      <c r="M36" s="2">
        <f t="shared" si="11"/>
        <v>270000</v>
      </c>
      <c r="N36" s="2">
        <f t="shared" si="11"/>
        <v>270000</v>
      </c>
      <c r="O36" s="2">
        <f t="shared" si="11"/>
        <v>335000</v>
      </c>
      <c r="P36" s="2">
        <f t="shared" si="11"/>
        <v>355000</v>
      </c>
      <c r="Q36" s="2">
        <f t="shared" si="11"/>
        <v>355000</v>
      </c>
      <c r="R36" s="129">
        <f t="shared" si="11"/>
        <v>355000</v>
      </c>
      <c r="S36" s="2">
        <f t="shared" si="11"/>
        <v>385000</v>
      </c>
      <c r="T36" s="2">
        <f t="shared" si="11"/>
        <v>405000</v>
      </c>
      <c r="U36" s="2">
        <f t="shared" si="11"/>
        <v>405000</v>
      </c>
      <c r="V36" s="2">
        <f t="shared" si="11"/>
        <v>405000</v>
      </c>
      <c r="W36" s="2">
        <f t="shared" si="11"/>
        <v>470000</v>
      </c>
      <c r="X36" s="2">
        <f t="shared" si="11"/>
        <v>490000</v>
      </c>
      <c r="Y36" s="2">
        <f t="shared" si="11"/>
        <v>540000</v>
      </c>
      <c r="Z36" s="2">
        <f t="shared" si="11"/>
        <v>540000</v>
      </c>
      <c r="AA36" s="2">
        <f t="shared" si="11"/>
        <v>605000</v>
      </c>
      <c r="AB36" s="2">
        <f t="shared" si="11"/>
        <v>625000</v>
      </c>
      <c r="AC36" s="2">
        <f t="shared" si="11"/>
        <v>625000</v>
      </c>
      <c r="AD36" s="2">
        <f t="shared" si="11"/>
        <v>625000</v>
      </c>
      <c r="AE36" s="2">
        <f t="shared" si="11"/>
        <v>655000</v>
      </c>
      <c r="AF36" s="2">
        <f t="shared" si="11"/>
        <v>675000</v>
      </c>
      <c r="AG36" s="2">
        <f t="shared" si="11"/>
        <v>675000</v>
      </c>
      <c r="AH36" s="2">
        <f t="shared" si="11"/>
        <v>675000</v>
      </c>
      <c r="AI36" s="2">
        <f t="shared" si="11"/>
        <v>740000</v>
      </c>
      <c r="AJ36" s="2">
        <f t="shared" si="11"/>
        <v>760000</v>
      </c>
      <c r="AK36" s="2">
        <f t="shared" si="11"/>
        <v>810000</v>
      </c>
    </row>
    <row r="37" spans="1:37" ht="3" customHeight="1" x14ac:dyDescent="0.25">
      <c r="A37" s="54"/>
      <c r="B37" s="2"/>
      <c r="C37" s="2"/>
      <c r="D37" s="2"/>
      <c r="E37" s="2"/>
      <c r="F37" s="2"/>
      <c r="G37" s="2"/>
      <c r="H37" s="2"/>
      <c r="I37" s="129"/>
      <c r="J37" s="2"/>
      <c r="K37" s="2"/>
      <c r="L37" s="2"/>
      <c r="M37" s="2"/>
      <c r="N37" s="2"/>
      <c r="O37" s="2"/>
      <c r="P37" s="2"/>
      <c r="Q37" s="2"/>
      <c r="R37" s="12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.75" customHeight="1" x14ac:dyDescent="0.25">
      <c r="A38" s="140" t="s">
        <v>196</v>
      </c>
      <c r="B38" s="142"/>
      <c r="C38" s="142"/>
      <c r="D38" s="142"/>
      <c r="E38" s="142"/>
      <c r="F38" s="142"/>
      <c r="G38" s="142"/>
      <c r="H38" s="142"/>
      <c r="I38" s="143"/>
      <c r="J38" s="142"/>
      <c r="K38" s="142"/>
      <c r="L38" s="142"/>
      <c r="M38" s="142"/>
      <c r="N38" s="142"/>
      <c r="O38" s="142"/>
      <c r="P38" s="142"/>
      <c r="Q38" s="142"/>
      <c r="R38" s="143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</row>
    <row r="39" spans="1:37" x14ac:dyDescent="0.25">
      <c r="A39" s="54" t="s">
        <v>216</v>
      </c>
      <c r="B39" s="2"/>
      <c r="C39" s="2"/>
      <c r="D39" s="2"/>
      <c r="E39" s="2"/>
      <c r="F39" s="2"/>
      <c r="G39" s="2"/>
      <c r="H39" s="2"/>
      <c r="I39" s="129"/>
      <c r="J39" s="2"/>
      <c r="K39" s="2"/>
      <c r="L39" s="2"/>
      <c r="M39" s="2"/>
      <c r="N39" s="2"/>
      <c r="O39" s="2"/>
      <c r="P39" s="2"/>
      <c r="Q39" s="2"/>
      <c r="R39" s="12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x14ac:dyDescent="0.25">
      <c r="A40" s="54" t="s">
        <v>217</v>
      </c>
      <c r="B40" s="2">
        <f>B17*'Исходные данные'!$F$21</f>
        <v>15000</v>
      </c>
      <c r="C40" s="2">
        <v>15000</v>
      </c>
      <c r="D40" s="2">
        <v>15000</v>
      </c>
      <c r="E40" s="2">
        <v>15000</v>
      </c>
      <c r="F40" s="2">
        <v>15000</v>
      </c>
      <c r="G40" s="2">
        <v>15000</v>
      </c>
      <c r="H40" s="2">
        <v>15000</v>
      </c>
      <c r="I40" s="129">
        <v>15000</v>
      </c>
      <c r="J40" s="2">
        <v>15000</v>
      </c>
      <c r="K40" s="2">
        <v>30000</v>
      </c>
      <c r="L40" s="2">
        <v>30000</v>
      </c>
      <c r="M40" s="2">
        <v>30000</v>
      </c>
      <c r="N40" s="2">
        <v>30000</v>
      </c>
      <c r="O40" s="2">
        <v>30000</v>
      </c>
      <c r="P40" s="2">
        <v>30000</v>
      </c>
      <c r="Q40" s="2">
        <v>30000</v>
      </c>
      <c r="R40" s="2">
        <v>30000</v>
      </c>
      <c r="S40" s="2">
        <v>30000</v>
      </c>
      <c r="T40" s="2">
        <v>30000</v>
      </c>
      <c r="U40" s="2">
        <v>30000</v>
      </c>
      <c r="V40" s="2">
        <v>30000</v>
      </c>
      <c r="W40" s="2">
        <v>30000</v>
      </c>
      <c r="X40" s="2">
        <v>30000</v>
      </c>
      <c r="Y40" s="2">
        <v>30000</v>
      </c>
      <c r="Z40" s="2">
        <v>30000</v>
      </c>
      <c r="AA40" s="2">
        <v>30000</v>
      </c>
      <c r="AB40" s="2">
        <v>30000</v>
      </c>
      <c r="AC40" s="2">
        <v>30000</v>
      </c>
      <c r="AD40" s="2">
        <v>30000</v>
      </c>
      <c r="AE40" s="2">
        <v>30000</v>
      </c>
      <c r="AF40" s="2">
        <v>30000</v>
      </c>
      <c r="AG40" s="2">
        <v>30000</v>
      </c>
      <c r="AH40" s="2">
        <v>30000</v>
      </c>
      <c r="AI40" s="2">
        <v>30000</v>
      </c>
      <c r="AJ40" s="2">
        <v>30000</v>
      </c>
      <c r="AK40" s="2">
        <v>30000</v>
      </c>
    </row>
    <row r="41" spans="1:37" x14ac:dyDescent="0.25">
      <c r="A41" s="54" t="s">
        <v>218</v>
      </c>
      <c r="B41" s="2">
        <f>'Планирование выручки'!B5*'Исходные данные'!$F$22*('Расчет среднего чека'!$E$67+('Расчет среднего чека'!$E$67*'Исходные данные'!$F$26))</f>
        <v>0</v>
      </c>
      <c r="C41" s="2">
        <f>'Планирование выручки'!C5*'Исходные данные'!$F$22*('Расчет среднего чека'!$E$67+('Расчет среднего чека'!$E$67*'Исходные данные'!$F$26))</f>
        <v>35640</v>
      </c>
      <c r="D41" s="2">
        <f>'Планирование выручки'!D5*'Исходные данные'!$F$22*('Расчет среднего чека'!$E$67+('Расчет среднего чека'!$E$67*'Исходные данные'!$F$26))</f>
        <v>11879.999999999998</v>
      </c>
      <c r="E41" s="2">
        <f>'Планирование выручки'!E5*'Исходные данные'!$F$22*('Расчет среднего чека'!$E$67+('Расчет среднего чека'!$E$67*'Исходные данные'!$F$26))</f>
        <v>11879.999999999998</v>
      </c>
      <c r="F41" s="2">
        <f>'Планирование выручки'!F5*'Исходные данные'!$F$22*('Расчет среднего чека'!$E$67+('Расчет среднего чека'!$E$67*'Исходные данные'!$F$26))</f>
        <v>11879.999999999998</v>
      </c>
      <c r="G41" s="2">
        <f>'Планирование выручки'!G5*'Исходные данные'!$F$22*('Расчет среднего чека'!$E$67+('Расчет среднего чека'!$E$67*'Исходные данные'!$F$26))</f>
        <v>11879.999999999998</v>
      </c>
      <c r="H41" s="2">
        <f>'Планирование выручки'!H5*'Исходные данные'!$F$22*('Расчет среднего чека'!$E$67+('Расчет среднего чека'!$E$67*'Исходные данные'!$F$26))</f>
        <v>19800</v>
      </c>
      <c r="I41" s="2">
        <f>'Планирование выручки'!I5*'Исходные данные'!$F$22*('Расчет среднего чека'!$E$67+('Расчет среднего чека'!$E$67*'Исходные данные'!$F$26))</f>
        <v>19800</v>
      </c>
      <c r="J41" s="2">
        <f>'Планирование выручки'!J5*'Исходные данные'!$F$22*('Расчет среднего чека'!$E$67+('Расчет среднего чека'!$E$67*'Исходные данные'!$F$26))</f>
        <v>19800</v>
      </c>
      <c r="K41" s="2">
        <f>'Планирование выручки'!K5*'Исходные данные'!$F$22*('Расчет среднего чека'!$E$67+('Расчет среднего чека'!$E$67*'Исходные данные'!$F$26))</f>
        <v>39600</v>
      </c>
      <c r="L41" s="2">
        <f>'Планирование выручки'!L5*'Исходные данные'!$F$22*('Расчет среднего чека'!$E$67+('Расчет среднего чека'!$E$67*'Исходные данные'!$F$26))</f>
        <v>39600</v>
      </c>
      <c r="M41" s="2">
        <f>'Планирование выручки'!M5*'Исходные данные'!$F$22*('Расчет среднего чека'!$E$67+('Расчет среднего чека'!$E$67*'Исходные данные'!$F$26))</f>
        <v>39600</v>
      </c>
      <c r="N41" s="2">
        <f>'Планирование выручки'!N5*'Исходные данные'!$F$22*('Расчет среднего чека'!$E$67+('Расчет среднего чека'!$E$67*'Исходные данные'!$F$26))</f>
        <v>19800</v>
      </c>
      <c r="O41" s="2">
        <f>'Планирование выручки'!O5*'Исходные данные'!$F$22*('Расчет среднего чека'!$E$67+('Расчет среднего чека'!$E$67*'Исходные данные'!$F$26))</f>
        <v>39600</v>
      </c>
      <c r="P41" s="2">
        <f>'Планирование выручки'!P5*'Исходные данные'!$F$22*('Расчет среднего чека'!$E$67+('Расчет среднего чека'!$E$67*'Исходные данные'!$F$26))</f>
        <v>39600</v>
      </c>
      <c r="Q41" s="2">
        <f>'Планирование выручки'!Q5*'Исходные данные'!$F$22*('Расчет среднего чека'!$E$67+('Расчет среднего чека'!$E$67*'Исходные данные'!$F$26))</f>
        <v>19800</v>
      </c>
      <c r="R41" s="2">
        <f>'Планирование выручки'!R5*'Исходные данные'!$F$22*('Расчет среднего чека'!$E$67+('Расчет среднего чека'!$E$67*'Исходные данные'!$F$26))</f>
        <v>19800</v>
      </c>
      <c r="S41" s="2">
        <f>'Планирование выручки'!S5*'Исходные данные'!$F$22*('Расчет среднего чека'!$E$67+('Расчет среднего чека'!$E$67*'Исходные данные'!$F$26))</f>
        <v>3960</v>
      </c>
      <c r="T41" s="2">
        <f>'Планирование выручки'!T5*'Исходные данные'!$F$22*('Расчет среднего чека'!$E$67+('Расчет среднего чека'!$E$67*'Исходные данные'!$F$26))</f>
        <v>3960</v>
      </c>
      <c r="U41" s="2">
        <f>'Планирование выручки'!U5*'Исходные данные'!$F$22*('Расчет среднего чека'!$E$67+('Расчет среднего чека'!$E$67*'Исходные данные'!$F$26))</f>
        <v>19800</v>
      </c>
      <c r="V41" s="2">
        <f>'Планирование выручки'!V5*'Исходные данные'!$F$22*('Расчет среднего чека'!$E$67+('Расчет среднего чека'!$E$67*'Исходные данные'!$F$26))</f>
        <v>19800</v>
      </c>
      <c r="W41" s="2">
        <f>'Планирование выручки'!W5*'Исходные данные'!$F$22*('Расчет среднего чека'!$E$67+('Расчет среднего чека'!$E$67*'Исходные данные'!$F$26))</f>
        <v>39600</v>
      </c>
      <c r="X41" s="2">
        <f>'Планирование выручки'!X5*'Исходные данные'!$F$22*('Расчет среднего чека'!$E$67+('Расчет среднего чека'!$E$67*'Исходные данные'!$F$26))</f>
        <v>39600</v>
      </c>
      <c r="Y41" s="2">
        <f>'Планирование выручки'!Y5*'Исходные данные'!$F$22*('Расчет среднего чека'!$E$67+('Расчет среднего чека'!$E$67*'Исходные данные'!$F$26))</f>
        <v>39600</v>
      </c>
      <c r="Z41" s="2">
        <f>'Планирование выручки'!Z5*'Исходные данные'!$F$22*('Расчет среднего чека'!$E$67+('Расчет среднего чека'!$E$67*'Исходные данные'!$F$26))</f>
        <v>19800</v>
      </c>
      <c r="AA41" s="2">
        <f>'Планирование выручки'!AA5*'Исходные данные'!$F$22*('Расчет среднего чека'!$E$67+('Расчет среднего чека'!$E$67*'Исходные данные'!$F$26))</f>
        <v>39600</v>
      </c>
      <c r="AB41" s="2">
        <f>'Планирование выручки'!AB5*'Исходные данные'!$F$22*('Расчет среднего чека'!$E$67+('Расчет среднего чека'!$E$67*'Исходные данные'!$F$26))</f>
        <v>39600</v>
      </c>
      <c r="AC41" s="2">
        <f>'Планирование выручки'!AC5*'Исходные данные'!$F$22*('Расчет среднего чека'!$E$67+('Расчет среднего чека'!$E$67*'Исходные данные'!$F$26))</f>
        <v>19800</v>
      </c>
      <c r="AD41" s="2">
        <f>'Планирование выручки'!AD5*'Исходные данные'!$F$22*('Расчет среднего чека'!$E$67+('Расчет среднего чека'!$E$67*'Исходные данные'!$F$26))</f>
        <v>19800</v>
      </c>
      <c r="AE41" s="2">
        <f>'Планирование выручки'!AE5*'Исходные данные'!$F$22*('Расчет среднего чека'!$E$67+('Расчет среднего чека'!$E$67*'Исходные данные'!$F$26))</f>
        <v>3960</v>
      </c>
      <c r="AF41" s="2">
        <f>'Планирование выручки'!AF5*'Исходные данные'!$F$22*('Расчет среднего чека'!$E$67+('Расчет среднего чека'!$E$67*'Исходные данные'!$F$26))</f>
        <v>3960</v>
      </c>
      <c r="AG41" s="2">
        <f>'Планирование выручки'!AG5*'Исходные данные'!$F$22*('Расчет среднего чека'!$E$67+('Расчет среднего чека'!$E$67*'Исходные данные'!$F$26))</f>
        <v>19800</v>
      </c>
      <c r="AH41" s="2">
        <f>'Планирование выручки'!AH5*'Исходные данные'!$F$22*('Расчет среднего чека'!$E$67+('Расчет среднего чека'!$E$67*'Исходные данные'!$F$26))</f>
        <v>19800</v>
      </c>
      <c r="AI41" s="2">
        <f>'Планирование выручки'!AI5*'Исходные данные'!$F$22*('Расчет среднего чека'!$E$67+('Расчет среднего чека'!$E$67*'Исходные данные'!$F$26))</f>
        <v>39600</v>
      </c>
      <c r="AJ41" s="2">
        <f>'Планирование выручки'!AJ5*'Исходные данные'!$F$22*('Расчет среднего чека'!$E$67+('Расчет среднего чека'!$E$67*'Исходные данные'!$F$26))</f>
        <v>39600</v>
      </c>
      <c r="AK41" s="2">
        <f>'Планирование выручки'!AK5*'Исходные данные'!$F$22*('Расчет среднего чека'!$E$67+('Расчет среднего чека'!$E$67*'Исходные данные'!$F$26))</f>
        <v>39600</v>
      </c>
    </row>
    <row r="42" spans="1:37" ht="27" x14ac:dyDescent="0.25">
      <c r="A42" s="134" t="s">
        <v>219</v>
      </c>
      <c r="B42" s="2">
        <f>SUM(B40:B41)</f>
        <v>15000</v>
      </c>
      <c r="C42" s="2">
        <f t="shared" ref="C42:AK42" si="12">SUM(C40:C41)</f>
        <v>50640</v>
      </c>
      <c r="D42" s="2">
        <f t="shared" si="12"/>
        <v>26880</v>
      </c>
      <c r="E42" s="2">
        <f t="shared" si="12"/>
        <v>26880</v>
      </c>
      <c r="F42" s="2">
        <f t="shared" si="12"/>
        <v>26880</v>
      </c>
      <c r="G42" s="2">
        <f t="shared" si="12"/>
        <v>26880</v>
      </c>
      <c r="H42" s="2">
        <f t="shared" si="12"/>
        <v>34800</v>
      </c>
      <c r="I42" s="129">
        <f t="shared" si="12"/>
        <v>34800</v>
      </c>
      <c r="J42" s="2">
        <f t="shared" si="12"/>
        <v>34800</v>
      </c>
      <c r="K42" s="2">
        <f t="shared" si="12"/>
        <v>69600</v>
      </c>
      <c r="L42" s="2">
        <f t="shared" si="12"/>
        <v>69600</v>
      </c>
      <c r="M42" s="2">
        <f t="shared" si="12"/>
        <v>69600</v>
      </c>
      <c r="N42" s="2">
        <f t="shared" si="12"/>
        <v>49800</v>
      </c>
      <c r="O42" s="2">
        <f t="shared" si="12"/>
        <v>69600</v>
      </c>
      <c r="P42" s="2">
        <f t="shared" si="12"/>
        <v>69600</v>
      </c>
      <c r="Q42" s="2">
        <f t="shared" si="12"/>
        <v>49800</v>
      </c>
      <c r="R42" s="2">
        <f t="shared" si="12"/>
        <v>49800</v>
      </c>
      <c r="S42" s="2">
        <f t="shared" si="12"/>
        <v>33960</v>
      </c>
      <c r="T42" s="2">
        <f t="shared" si="12"/>
        <v>33960</v>
      </c>
      <c r="U42" s="2">
        <f t="shared" si="12"/>
        <v>49800</v>
      </c>
      <c r="V42" s="2">
        <f t="shared" si="12"/>
        <v>49800</v>
      </c>
      <c r="W42" s="2">
        <f t="shared" si="12"/>
        <v>69600</v>
      </c>
      <c r="X42" s="2">
        <f t="shared" si="12"/>
        <v>69600</v>
      </c>
      <c r="Y42" s="2">
        <f t="shared" si="12"/>
        <v>69600</v>
      </c>
      <c r="Z42" s="2">
        <f t="shared" si="12"/>
        <v>49800</v>
      </c>
      <c r="AA42" s="2">
        <f t="shared" si="12"/>
        <v>69600</v>
      </c>
      <c r="AB42" s="2">
        <f t="shared" si="12"/>
        <v>69600</v>
      </c>
      <c r="AC42" s="2">
        <f t="shared" si="12"/>
        <v>49800</v>
      </c>
      <c r="AD42" s="2">
        <f t="shared" si="12"/>
        <v>49800</v>
      </c>
      <c r="AE42" s="2">
        <f t="shared" si="12"/>
        <v>33960</v>
      </c>
      <c r="AF42" s="2">
        <f t="shared" si="12"/>
        <v>33960</v>
      </c>
      <c r="AG42" s="2">
        <f t="shared" si="12"/>
        <v>49800</v>
      </c>
      <c r="AH42" s="2">
        <f t="shared" si="12"/>
        <v>49800</v>
      </c>
      <c r="AI42" s="2">
        <f t="shared" si="12"/>
        <v>69600</v>
      </c>
      <c r="AJ42" s="2">
        <f t="shared" si="12"/>
        <v>69600</v>
      </c>
      <c r="AK42" s="2">
        <f t="shared" si="12"/>
        <v>69600</v>
      </c>
    </row>
    <row r="43" spans="1:37" ht="3.75" customHeight="1" x14ac:dyDescent="0.25">
      <c r="A43" s="134"/>
      <c r="B43" s="2"/>
      <c r="C43" s="2"/>
      <c r="D43" s="2"/>
      <c r="E43" s="2"/>
      <c r="F43" s="2"/>
      <c r="G43" s="2"/>
      <c r="H43" s="2"/>
      <c r="I43" s="12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27" x14ac:dyDescent="0.25">
      <c r="A44" s="140" t="s">
        <v>200</v>
      </c>
      <c r="B44" s="142"/>
      <c r="C44" s="142"/>
      <c r="D44" s="142"/>
      <c r="E44" s="142"/>
      <c r="F44" s="142"/>
      <c r="G44" s="142"/>
      <c r="H44" s="142"/>
      <c r="I44" s="143"/>
      <c r="J44" s="142"/>
      <c r="K44" s="142"/>
      <c r="L44" s="142"/>
      <c r="M44" s="142"/>
      <c r="N44" s="142"/>
      <c r="O44" s="142"/>
      <c r="P44" s="142"/>
      <c r="Q44" s="142"/>
      <c r="R44" s="143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</row>
    <row r="45" spans="1:37" x14ac:dyDescent="0.25">
      <c r="A45" s="58" t="s">
        <v>201</v>
      </c>
      <c r="B45" s="2">
        <f>B21*'Исходные данные'!$F$12</f>
        <v>55000</v>
      </c>
      <c r="C45" s="2">
        <f>C21*'Исходные данные'!$F$12</f>
        <v>55000</v>
      </c>
      <c r="D45" s="2">
        <f>D21*'Исходные данные'!$F$12</f>
        <v>55000</v>
      </c>
      <c r="E45" s="2">
        <f>E21*'Исходные данные'!$F$12</f>
        <v>55000</v>
      </c>
      <c r="F45" s="2">
        <f>F21*'Исходные данные'!$F$12</f>
        <v>55000</v>
      </c>
      <c r="G45" s="2">
        <f>G21*'Исходные данные'!$F$12</f>
        <v>55000</v>
      </c>
      <c r="H45" s="2">
        <f>H21*'Исходные данные'!$F$12</f>
        <v>55000</v>
      </c>
      <c r="I45" s="2">
        <f>I21*'Исходные данные'!$F$12</f>
        <v>55000</v>
      </c>
      <c r="J45" s="2">
        <f>J21*'Исходные данные'!$F$12</f>
        <v>55000</v>
      </c>
      <c r="K45" s="2">
        <f>K21*'Исходные данные'!$F$12</f>
        <v>55000</v>
      </c>
      <c r="L45" s="2">
        <f>L21*'Исходные данные'!$F$12</f>
        <v>55000</v>
      </c>
      <c r="M45" s="2">
        <f>M21*'Исходные данные'!$F$12</f>
        <v>55000</v>
      </c>
      <c r="N45" s="2">
        <f>N21*'Исходные данные'!$F$12</f>
        <v>55000</v>
      </c>
      <c r="O45" s="2">
        <f>O21*'Исходные данные'!$F$12</f>
        <v>55000</v>
      </c>
      <c r="P45" s="2">
        <f>P21*'Исходные данные'!$F$12</f>
        <v>55000</v>
      </c>
      <c r="Q45" s="2">
        <f>Q21*'Исходные данные'!$F$12</f>
        <v>55000</v>
      </c>
      <c r="R45" s="2">
        <f>R21*'Исходные данные'!$F$12</f>
        <v>55000</v>
      </c>
      <c r="S45" s="2">
        <f>S21*'Исходные данные'!$F$12</f>
        <v>55000</v>
      </c>
      <c r="T45" s="2">
        <f>T21*'Исходные данные'!$F$12</f>
        <v>55000</v>
      </c>
      <c r="U45" s="2">
        <f>U21*'Исходные данные'!$F$12</f>
        <v>55000</v>
      </c>
      <c r="V45" s="2">
        <f>V21*'Исходные данные'!$F$12</f>
        <v>55000</v>
      </c>
      <c r="W45" s="2">
        <f>W21*'Исходные данные'!$F$12</f>
        <v>55000</v>
      </c>
      <c r="X45" s="2">
        <f>X21*'Исходные данные'!$F$12</f>
        <v>55000</v>
      </c>
      <c r="Y45" s="2">
        <f>Y21*'Исходные данные'!$F$12</f>
        <v>55000</v>
      </c>
      <c r="Z45" s="2">
        <f>Z21*'Исходные данные'!$F$12</f>
        <v>55000</v>
      </c>
      <c r="AA45" s="2">
        <f>AA21*'Исходные данные'!$F$12</f>
        <v>55000</v>
      </c>
      <c r="AB45" s="2">
        <f>AB21*'Исходные данные'!$F$12</f>
        <v>55000</v>
      </c>
      <c r="AC45" s="2">
        <f>AC21*'Исходные данные'!$F$12</f>
        <v>55000</v>
      </c>
      <c r="AD45" s="2">
        <f>AD21*'Исходные данные'!$F$12</f>
        <v>55000</v>
      </c>
      <c r="AE45" s="2">
        <f>AE21*'Исходные данные'!$F$12</f>
        <v>55000</v>
      </c>
      <c r="AF45" s="2">
        <f>AF21*'Исходные данные'!$F$12</f>
        <v>55000</v>
      </c>
      <c r="AG45" s="2">
        <f>AG21*'Исходные данные'!$F$12</f>
        <v>55000</v>
      </c>
      <c r="AH45" s="2">
        <f>AH21*'Исходные данные'!$F$12</f>
        <v>55000</v>
      </c>
      <c r="AI45" s="2">
        <f>AI21*'Исходные данные'!$F$12</f>
        <v>55000</v>
      </c>
      <c r="AJ45" s="2">
        <f>AJ21*'Исходные данные'!$F$12</f>
        <v>55000</v>
      </c>
      <c r="AK45" s="2">
        <f>AK21*'Исходные данные'!$F$12</f>
        <v>55000</v>
      </c>
    </row>
    <row r="46" spans="1:37" x14ac:dyDescent="0.25">
      <c r="A46" s="58" t="s">
        <v>202</v>
      </c>
      <c r="B46" s="2">
        <f>B22*'Исходные данные'!$F$13</f>
        <v>0</v>
      </c>
      <c r="C46" s="2">
        <f>C22*'Исходные данные'!$F$13</f>
        <v>0</v>
      </c>
      <c r="D46" s="2">
        <f>D22*'Исходные данные'!$F$13</f>
        <v>0</v>
      </c>
      <c r="E46" s="2">
        <f>E22*'Исходные данные'!$F$13</f>
        <v>0</v>
      </c>
      <c r="F46" s="2">
        <f>F22*'Исходные данные'!$F$13</f>
        <v>0</v>
      </c>
      <c r="G46" s="2">
        <f>G22*'Исходные данные'!$F$13</f>
        <v>0</v>
      </c>
      <c r="H46" s="2">
        <f>H22*'Исходные данные'!$F$13</f>
        <v>0</v>
      </c>
      <c r="I46" s="2">
        <f>I22*'Исходные данные'!$F$13</f>
        <v>0</v>
      </c>
      <c r="J46" s="2">
        <f>J22*'Исходные данные'!$F$13</f>
        <v>0</v>
      </c>
      <c r="K46" s="2">
        <f>K22*'Исходные данные'!$F$13</f>
        <v>0</v>
      </c>
      <c r="L46" s="2">
        <f>L22*'Исходные данные'!$F$13</f>
        <v>0</v>
      </c>
      <c r="M46" s="2">
        <f>M22*'Исходные данные'!$F$13</f>
        <v>0</v>
      </c>
      <c r="N46" s="2">
        <f>N22*'Исходные данные'!$F$13</f>
        <v>0</v>
      </c>
      <c r="O46" s="2">
        <f>O22*'Исходные данные'!$F$13</f>
        <v>0</v>
      </c>
      <c r="P46" s="2">
        <f>P22*'Исходные данные'!$F$13</f>
        <v>0</v>
      </c>
      <c r="Q46" s="2">
        <f>Q22*'Исходные данные'!$F$13</f>
        <v>0</v>
      </c>
      <c r="R46" s="2">
        <f>R22*'Исходные данные'!$F$13</f>
        <v>0</v>
      </c>
      <c r="S46" s="2">
        <f>S22*'Исходные данные'!$F$13</f>
        <v>0</v>
      </c>
      <c r="T46" s="2">
        <f>T22*'Исходные данные'!$F$13</f>
        <v>0</v>
      </c>
      <c r="U46" s="2">
        <f>U22*'Исходные данные'!$F$13</f>
        <v>0</v>
      </c>
      <c r="V46" s="2">
        <f>V22*'Исходные данные'!$F$13</f>
        <v>0</v>
      </c>
      <c r="W46" s="2">
        <f>W22*'Исходные данные'!$F$13</f>
        <v>0</v>
      </c>
      <c r="X46" s="2">
        <f>X22*'Исходные данные'!$F$13</f>
        <v>0</v>
      </c>
      <c r="Y46" s="2">
        <f>Y22*'Исходные данные'!$F$13</f>
        <v>0</v>
      </c>
      <c r="Z46" s="2">
        <f>Z22*'Исходные данные'!$F$13</f>
        <v>0</v>
      </c>
      <c r="AA46" s="2">
        <f>AA22*'Исходные данные'!$F$13</f>
        <v>0</v>
      </c>
      <c r="AB46" s="2">
        <f>AB22*'Исходные данные'!$F$13</f>
        <v>0</v>
      </c>
      <c r="AC46" s="2">
        <f>AC22*'Исходные данные'!$F$13</f>
        <v>0</v>
      </c>
      <c r="AD46" s="2">
        <f>AD22*'Исходные данные'!$F$13</f>
        <v>0</v>
      </c>
      <c r="AE46" s="2">
        <f>AE22*'Исходные данные'!$F$13</f>
        <v>0</v>
      </c>
      <c r="AF46" s="2">
        <f>AF22*'Исходные данные'!$F$13</f>
        <v>0</v>
      </c>
      <c r="AG46" s="2">
        <f>AG22*'Исходные данные'!$F$13</f>
        <v>0</v>
      </c>
      <c r="AH46" s="2">
        <f>AH22*'Исходные данные'!$F$13</f>
        <v>0</v>
      </c>
      <c r="AI46" s="2">
        <f>AI22*'Исходные данные'!$F$13</f>
        <v>0</v>
      </c>
      <c r="AJ46" s="2">
        <f>AJ22*'Исходные данные'!$F$13</f>
        <v>0</v>
      </c>
      <c r="AK46" s="2">
        <f>AK22*'Исходные данные'!$F$13</f>
        <v>0</v>
      </c>
    </row>
    <row r="47" spans="1:37" ht="27" x14ac:dyDescent="0.25">
      <c r="A47" s="58" t="s">
        <v>203</v>
      </c>
      <c r="B47" s="2">
        <f>B23*'Исходные данные'!$F$14</f>
        <v>0</v>
      </c>
      <c r="C47" s="2">
        <f>C23*'Исходные данные'!$F$14</f>
        <v>0</v>
      </c>
      <c r="D47" s="2">
        <f>D23*'Исходные данные'!$F$14</f>
        <v>0</v>
      </c>
      <c r="E47" s="2">
        <f>E23*'Исходные данные'!$F$14</f>
        <v>0</v>
      </c>
      <c r="F47" s="2">
        <f>F23*'Исходные данные'!$F$14</f>
        <v>0</v>
      </c>
      <c r="G47" s="2">
        <f>G23*'Исходные данные'!$F$14</f>
        <v>0</v>
      </c>
      <c r="H47" s="2">
        <f>H23*'Исходные данные'!$F$14</f>
        <v>0</v>
      </c>
      <c r="I47" s="2">
        <f>I23*'Исходные данные'!$F$14</f>
        <v>0</v>
      </c>
      <c r="J47" s="2">
        <f>J23*'Исходные данные'!$F$14</f>
        <v>0</v>
      </c>
      <c r="K47" s="2">
        <f>K23*'Исходные данные'!$F$14</f>
        <v>0</v>
      </c>
      <c r="L47" s="2">
        <f>L23*'Исходные данные'!$F$14</f>
        <v>30000</v>
      </c>
      <c r="M47" s="2">
        <f>M23*'Исходные данные'!$F$14</f>
        <v>30000</v>
      </c>
      <c r="N47" s="2">
        <f>N23*'Исходные данные'!$F$14</f>
        <v>30000</v>
      </c>
      <c r="O47" s="2">
        <f>O23*'Исходные данные'!$F$14</f>
        <v>30000</v>
      </c>
      <c r="P47" s="2">
        <f>P23*'Исходные данные'!$F$14</f>
        <v>30000</v>
      </c>
      <c r="Q47" s="2">
        <f>Q23*'Исходные данные'!$F$14</f>
        <v>30000</v>
      </c>
      <c r="R47" s="2">
        <f>R23*'Исходные данные'!$F$14</f>
        <v>30000</v>
      </c>
      <c r="S47" s="2">
        <f>S23*'Исходные данные'!$F$14</f>
        <v>30000</v>
      </c>
      <c r="T47" s="2">
        <f>T23*'Исходные данные'!$F$14</f>
        <v>30000</v>
      </c>
      <c r="U47" s="2">
        <f>U23*'Исходные данные'!$F$14</f>
        <v>30000</v>
      </c>
      <c r="V47" s="2">
        <f>V23*'Исходные данные'!$F$14</f>
        <v>30000</v>
      </c>
      <c r="W47" s="2">
        <f>W23*'Исходные данные'!$F$14</f>
        <v>30000</v>
      </c>
      <c r="X47" s="2">
        <f>X23*'Исходные данные'!$F$14</f>
        <v>30000</v>
      </c>
      <c r="Y47" s="2">
        <f>Y23*'Исходные данные'!$F$14</f>
        <v>30000</v>
      </c>
      <c r="Z47" s="2">
        <f>Z23*'Исходные данные'!$F$14</f>
        <v>30000</v>
      </c>
      <c r="AA47" s="2">
        <f>AA23*'Исходные данные'!$F$14</f>
        <v>30000</v>
      </c>
      <c r="AB47" s="2">
        <f>AB23*'Исходные данные'!$F$14</f>
        <v>60000</v>
      </c>
      <c r="AC47" s="2">
        <f>AC23*'Исходные данные'!$F$14</f>
        <v>60000</v>
      </c>
      <c r="AD47" s="2">
        <f>AD23*'Исходные данные'!$F$14</f>
        <v>60000</v>
      </c>
      <c r="AE47" s="2">
        <f>AE23*'Исходные данные'!$F$14</f>
        <v>60000</v>
      </c>
      <c r="AF47" s="2">
        <f>AF23*'Исходные данные'!$F$14</f>
        <v>60000</v>
      </c>
      <c r="AG47" s="2">
        <f>AG23*'Исходные данные'!$F$14</f>
        <v>60000</v>
      </c>
      <c r="AH47" s="2">
        <f>AH23*'Исходные данные'!$F$14</f>
        <v>60000</v>
      </c>
      <c r="AI47" s="2">
        <f>AI23*'Исходные данные'!$F$14</f>
        <v>60000</v>
      </c>
      <c r="AJ47" s="2">
        <f>AJ23*'Исходные данные'!$F$14</f>
        <v>60000</v>
      </c>
      <c r="AK47" s="2">
        <f>AK23*'Исходные данные'!$F$14</f>
        <v>60000</v>
      </c>
    </row>
    <row r="48" spans="1:37" x14ac:dyDescent="0.25">
      <c r="A48" s="58" t="s">
        <v>204</v>
      </c>
      <c r="B48" s="2">
        <f>B24*'Исходные данные'!$F$16</f>
        <v>0</v>
      </c>
      <c r="C48" s="2">
        <f>C24*'Исходные данные'!$F$16</f>
        <v>0</v>
      </c>
      <c r="D48" s="2">
        <f>D24*'Исходные данные'!$F$16</f>
        <v>0</v>
      </c>
      <c r="E48" s="2">
        <f>E24*'Исходные данные'!$F$16</f>
        <v>0</v>
      </c>
      <c r="F48" s="2">
        <f>F24*'Исходные данные'!$F$16</f>
        <v>0</v>
      </c>
      <c r="G48" s="2">
        <f>G24*'Исходные данные'!$F$16</f>
        <v>0</v>
      </c>
      <c r="H48" s="2">
        <f>H24*'Исходные данные'!$F$16</f>
        <v>0</v>
      </c>
      <c r="I48" s="2">
        <f>I24*'Исходные данные'!$F$16</f>
        <v>0</v>
      </c>
      <c r="J48" s="2">
        <f>J24*'Исходные данные'!$F$16</f>
        <v>0</v>
      </c>
      <c r="K48" s="2">
        <f>K24*'Исходные данные'!$F$16</f>
        <v>0</v>
      </c>
      <c r="L48" s="2">
        <f>L24*'Исходные данные'!$F$16</f>
        <v>45000</v>
      </c>
      <c r="M48" s="2">
        <f>M24*'Исходные данные'!$F$16</f>
        <v>45000</v>
      </c>
      <c r="N48" s="2">
        <f>N24*'Исходные данные'!$F$16</f>
        <v>45000</v>
      </c>
      <c r="O48" s="2">
        <f>O24*'Исходные данные'!$F$16</f>
        <v>45000</v>
      </c>
      <c r="P48" s="2">
        <f>P24*'Исходные данные'!$F$16</f>
        <v>45000</v>
      </c>
      <c r="Q48" s="2">
        <f>Q24*'Исходные данные'!$F$16</f>
        <v>45000</v>
      </c>
      <c r="R48" s="2">
        <f>R24*'Исходные данные'!$F$16</f>
        <v>45000</v>
      </c>
      <c r="S48" s="2">
        <f>S24*'Исходные данные'!$F$16</f>
        <v>45000</v>
      </c>
      <c r="T48" s="2">
        <f>T24*'Исходные данные'!$F$16</f>
        <v>45000</v>
      </c>
      <c r="U48" s="2">
        <f>U24*'Исходные данные'!$F$16</f>
        <v>45000</v>
      </c>
      <c r="V48" s="2">
        <f>V24*'Исходные данные'!$F$16</f>
        <v>45000</v>
      </c>
      <c r="W48" s="2">
        <f>W24*'Исходные данные'!$F$16</f>
        <v>45000</v>
      </c>
      <c r="X48" s="2">
        <f>X24*'Исходные данные'!$F$16</f>
        <v>45000</v>
      </c>
      <c r="Y48" s="2">
        <f>Y24*'Исходные данные'!$F$16</f>
        <v>45000</v>
      </c>
      <c r="Z48" s="2">
        <f>Z24*'Исходные данные'!$F$16</f>
        <v>45000</v>
      </c>
      <c r="AA48" s="2">
        <f>AA24*'Исходные данные'!$F$16</f>
        <v>45000</v>
      </c>
      <c r="AB48" s="2">
        <f>AB24*'Исходные данные'!$F$16</f>
        <v>45000</v>
      </c>
      <c r="AC48" s="2">
        <f>AC24*'Исходные данные'!$F$16</f>
        <v>45000</v>
      </c>
      <c r="AD48" s="2">
        <f>AD24*'Исходные данные'!$F$16</f>
        <v>45000</v>
      </c>
      <c r="AE48" s="2">
        <f>AE24*'Исходные данные'!$F$16</f>
        <v>45000</v>
      </c>
      <c r="AF48" s="2">
        <f>AF24*'Исходные данные'!$F$16</f>
        <v>45000</v>
      </c>
      <c r="AG48" s="2">
        <f>AG24*'Исходные данные'!$F$16</f>
        <v>45000</v>
      </c>
      <c r="AH48" s="2">
        <f>AH24*'Исходные данные'!$F$16</f>
        <v>45000</v>
      </c>
      <c r="AI48" s="2">
        <f>AI24*'Исходные данные'!$F$16</f>
        <v>45000</v>
      </c>
      <c r="AJ48" s="2">
        <f>AJ24*'Исходные данные'!$F$16</f>
        <v>45000</v>
      </c>
      <c r="AK48" s="2">
        <f>AK24*'Исходные данные'!$F$16</f>
        <v>45000</v>
      </c>
    </row>
    <row r="49" spans="1:37" x14ac:dyDescent="0.25">
      <c r="A49" s="58" t="s">
        <v>205</v>
      </c>
      <c r="B49" s="2">
        <f>B25*'Исходные данные'!$F$15</f>
        <v>0</v>
      </c>
      <c r="C49" s="2">
        <f>C25*'Исходные данные'!$F$15</f>
        <v>0</v>
      </c>
      <c r="D49" s="2">
        <f>D25*'Исходные данные'!$F$15</f>
        <v>0</v>
      </c>
      <c r="E49" s="2">
        <f>E25*'Исходные данные'!$F$15</f>
        <v>0</v>
      </c>
      <c r="F49" s="2">
        <f>F25*'Исходные данные'!$F$15</f>
        <v>0</v>
      </c>
      <c r="G49" s="2">
        <f>G25*'Исходные данные'!$F$15</f>
        <v>15000</v>
      </c>
      <c r="H49" s="2">
        <f>H25*'Исходные данные'!$F$15</f>
        <v>15000</v>
      </c>
      <c r="I49" s="2">
        <f>I25*'Исходные данные'!$F$15</f>
        <v>15000</v>
      </c>
      <c r="J49" s="2">
        <f>J25*'Исходные данные'!$F$15</f>
        <v>15000</v>
      </c>
      <c r="K49" s="2">
        <f>K25*'Исходные данные'!$F$15</f>
        <v>15000</v>
      </c>
      <c r="L49" s="2">
        <f>L25*'Исходные данные'!$F$15</f>
        <v>15000</v>
      </c>
      <c r="M49" s="2">
        <f>M25*'Исходные данные'!$F$15</f>
        <v>15000</v>
      </c>
      <c r="N49" s="2">
        <f>N25*'Исходные данные'!$F$15</f>
        <v>15000</v>
      </c>
      <c r="O49" s="2">
        <f>O25*'Исходные данные'!$F$15</f>
        <v>15000</v>
      </c>
      <c r="P49" s="2">
        <f>P25*'Исходные данные'!$F$15</f>
        <v>15000</v>
      </c>
      <c r="Q49" s="2">
        <f>Q25*'Исходные данные'!$F$15</f>
        <v>15000</v>
      </c>
      <c r="R49" s="2">
        <f>R25*'Исходные данные'!$F$15</f>
        <v>15000</v>
      </c>
      <c r="S49" s="2">
        <f>S25*'Исходные данные'!$F$15</f>
        <v>15000</v>
      </c>
      <c r="T49" s="2">
        <f>T25*'Исходные данные'!$F$15</f>
        <v>15000</v>
      </c>
      <c r="U49" s="2">
        <f>U25*'Исходные данные'!$F$15</f>
        <v>30000</v>
      </c>
      <c r="V49" s="2">
        <f>V25*'Исходные данные'!$F$15</f>
        <v>30000</v>
      </c>
      <c r="W49" s="2">
        <f>W25*'Исходные данные'!$F$15</f>
        <v>30000</v>
      </c>
      <c r="X49" s="2">
        <f>X25*'Исходные данные'!$F$15</f>
        <v>30000</v>
      </c>
      <c r="Y49" s="2">
        <f>Y25*'Исходные данные'!$F$15</f>
        <v>30000</v>
      </c>
      <c r="Z49" s="2">
        <f>Z25*'Исходные данные'!$F$15</f>
        <v>30000</v>
      </c>
      <c r="AA49" s="2">
        <f>AA25*'Исходные данные'!$F$15</f>
        <v>30000</v>
      </c>
      <c r="AB49" s="2">
        <f>AB25*'Исходные данные'!$F$15</f>
        <v>30000</v>
      </c>
      <c r="AC49" s="2">
        <f>AC25*'Исходные данные'!$F$15</f>
        <v>30000</v>
      </c>
      <c r="AD49" s="2">
        <f>AD25*'Исходные данные'!$F$15</f>
        <v>30000</v>
      </c>
      <c r="AE49" s="2">
        <f>AE25*'Исходные данные'!$F$15</f>
        <v>30000</v>
      </c>
      <c r="AF49" s="2">
        <f>AF25*'Исходные данные'!$F$15</f>
        <v>30000</v>
      </c>
      <c r="AG49" s="2">
        <f>AG25*'Исходные данные'!$F$15</f>
        <v>30000</v>
      </c>
      <c r="AH49" s="2">
        <f>AH25*'Исходные данные'!$F$15</f>
        <v>30000</v>
      </c>
      <c r="AI49" s="2">
        <f>AI25*'Исходные данные'!$F$15</f>
        <v>30000</v>
      </c>
      <c r="AJ49" s="2">
        <f>AJ25*'Исходные данные'!$F$15</f>
        <v>30000</v>
      </c>
      <c r="AK49" s="2">
        <f>AK25*'Исходные данные'!$F$15</f>
        <v>45000</v>
      </c>
    </row>
    <row r="50" spans="1:37" ht="40.5" x14ac:dyDescent="0.25">
      <c r="A50" s="134" t="s">
        <v>220</v>
      </c>
      <c r="B50" s="2">
        <f>SUM(B45:B49)</f>
        <v>55000</v>
      </c>
      <c r="C50" s="2">
        <f t="shared" ref="C50:AK50" si="13">SUM(C45:C49)</f>
        <v>55000</v>
      </c>
      <c r="D50" s="2">
        <f t="shared" si="13"/>
        <v>55000</v>
      </c>
      <c r="E50" s="2">
        <f t="shared" si="13"/>
        <v>55000</v>
      </c>
      <c r="F50" s="2">
        <f t="shared" si="13"/>
        <v>55000</v>
      </c>
      <c r="G50" s="2">
        <f t="shared" si="13"/>
        <v>70000</v>
      </c>
      <c r="H50" s="2">
        <f t="shared" si="13"/>
        <v>70000</v>
      </c>
      <c r="I50" s="129">
        <f t="shared" si="13"/>
        <v>70000</v>
      </c>
      <c r="J50" s="2">
        <f t="shared" si="13"/>
        <v>70000</v>
      </c>
      <c r="K50" s="2">
        <f t="shared" si="13"/>
        <v>70000</v>
      </c>
      <c r="L50" s="2">
        <f t="shared" si="13"/>
        <v>145000</v>
      </c>
      <c r="M50" s="2">
        <f t="shared" si="13"/>
        <v>145000</v>
      </c>
      <c r="N50" s="2">
        <f t="shared" si="13"/>
        <v>145000</v>
      </c>
      <c r="O50" s="2">
        <f t="shared" si="13"/>
        <v>145000</v>
      </c>
      <c r="P50" s="2">
        <f t="shared" si="13"/>
        <v>145000</v>
      </c>
      <c r="Q50" s="2">
        <f t="shared" si="13"/>
        <v>145000</v>
      </c>
      <c r="R50" s="2">
        <f t="shared" si="13"/>
        <v>145000</v>
      </c>
      <c r="S50" s="2">
        <f t="shared" si="13"/>
        <v>145000</v>
      </c>
      <c r="T50" s="2">
        <f t="shared" si="13"/>
        <v>145000</v>
      </c>
      <c r="U50" s="2">
        <f t="shared" si="13"/>
        <v>160000</v>
      </c>
      <c r="V50" s="2">
        <f t="shared" si="13"/>
        <v>160000</v>
      </c>
      <c r="W50" s="2">
        <f t="shared" si="13"/>
        <v>160000</v>
      </c>
      <c r="X50" s="2">
        <f t="shared" si="13"/>
        <v>160000</v>
      </c>
      <c r="Y50" s="2">
        <f t="shared" si="13"/>
        <v>160000</v>
      </c>
      <c r="Z50" s="2">
        <f t="shared" si="13"/>
        <v>160000</v>
      </c>
      <c r="AA50" s="2">
        <f t="shared" si="13"/>
        <v>160000</v>
      </c>
      <c r="AB50" s="2">
        <f t="shared" si="13"/>
        <v>190000</v>
      </c>
      <c r="AC50" s="2">
        <f t="shared" si="13"/>
        <v>190000</v>
      </c>
      <c r="AD50" s="2">
        <f t="shared" si="13"/>
        <v>190000</v>
      </c>
      <c r="AE50" s="2">
        <f t="shared" si="13"/>
        <v>190000</v>
      </c>
      <c r="AF50" s="2">
        <f t="shared" si="13"/>
        <v>190000</v>
      </c>
      <c r="AG50" s="2">
        <f t="shared" si="13"/>
        <v>190000</v>
      </c>
      <c r="AH50" s="2">
        <f t="shared" si="13"/>
        <v>190000</v>
      </c>
      <c r="AI50" s="2">
        <f t="shared" si="13"/>
        <v>190000</v>
      </c>
      <c r="AJ50" s="2">
        <f t="shared" si="13"/>
        <v>190000</v>
      </c>
      <c r="AK50" s="2">
        <f t="shared" si="13"/>
        <v>205000</v>
      </c>
    </row>
    <row r="51" spans="1:37" ht="3.75" customHeight="1" x14ac:dyDescent="0.25">
      <c r="A51" s="134"/>
      <c r="B51" s="2"/>
      <c r="C51" s="2"/>
      <c r="D51" s="2"/>
      <c r="E51" s="2"/>
      <c r="F51" s="2"/>
      <c r="G51" s="2"/>
      <c r="H51" s="2"/>
      <c r="I51" s="12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27" x14ac:dyDescent="0.25">
      <c r="A52" s="134" t="s">
        <v>221</v>
      </c>
      <c r="B52" s="2">
        <f>B42+B50</f>
        <v>70000</v>
      </c>
      <c r="C52" s="2">
        <f t="shared" ref="C52:AK52" si="14">C42+C50</f>
        <v>105640</v>
      </c>
      <c r="D52" s="2">
        <f t="shared" si="14"/>
        <v>81880</v>
      </c>
      <c r="E52" s="2">
        <f t="shared" si="14"/>
        <v>81880</v>
      </c>
      <c r="F52" s="2">
        <f t="shared" si="14"/>
        <v>81880</v>
      </c>
      <c r="G52" s="2">
        <f t="shared" si="14"/>
        <v>96880</v>
      </c>
      <c r="H52" s="2">
        <f t="shared" si="14"/>
        <v>104800</v>
      </c>
      <c r="I52" s="129">
        <f t="shared" si="14"/>
        <v>104800</v>
      </c>
      <c r="J52" s="2">
        <f t="shared" si="14"/>
        <v>104800</v>
      </c>
      <c r="K52" s="2">
        <f t="shared" si="14"/>
        <v>139600</v>
      </c>
      <c r="L52" s="2">
        <f t="shared" si="14"/>
        <v>214600</v>
      </c>
      <c r="M52" s="2">
        <f t="shared" si="14"/>
        <v>214600</v>
      </c>
      <c r="N52" s="2">
        <f t="shared" si="14"/>
        <v>194800</v>
      </c>
      <c r="O52" s="2">
        <f t="shared" si="14"/>
        <v>214600</v>
      </c>
      <c r="P52" s="2">
        <f t="shared" si="14"/>
        <v>214600</v>
      </c>
      <c r="Q52" s="2">
        <f t="shared" si="14"/>
        <v>194800</v>
      </c>
      <c r="R52" s="2">
        <f t="shared" si="14"/>
        <v>194800</v>
      </c>
      <c r="S52" s="2">
        <f t="shared" si="14"/>
        <v>178960</v>
      </c>
      <c r="T52" s="2">
        <f t="shared" si="14"/>
        <v>178960</v>
      </c>
      <c r="U52" s="2">
        <f t="shared" si="14"/>
        <v>209800</v>
      </c>
      <c r="V52" s="2">
        <f t="shared" si="14"/>
        <v>209800</v>
      </c>
      <c r="W52" s="2">
        <f t="shared" si="14"/>
        <v>229600</v>
      </c>
      <c r="X52" s="2">
        <f t="shared" si="14"/>
        <v>229600</v>
      </c>
      <c r="Y52" s="2">
        <f t="shared" si="14"/>
        <v>229600</v>
      </c>
      <c r="Z52" s="2">
        <f t="shared" si="14"/>
        <v>209800</v>
      </c>
      <c r="AA52" s="2">
        <f t="shared" si="14"/>
        <v>229600</v>
      </c>
      <c r="AB52" s="2">
        <f t="shared" si="14"/>
        <v>259600</v>
      </c>
      <c r="AC52" s="2">
        <f t="shared" si="14"/>
        <v>239800</v>
      </c>
      <c r="AD52" s="2">
        <f t="shared" si="14"/>
        <v>239800</v>
      </c>
      <c r="AE52" s="2">
        <f t="shared" si="14"/>
        <v>223960</v>
      </c>
      <c r="AF52" s="2">
        <f t="shared" si="14"/>
        <v>223960</v>
      </c>
      <c r="AG52" s="2">
        <f t="shared" si="14"/>
        <v>239800</v>
      </c>
      <c r="AH52" s="2">
        <f t="shared" si="14"/>
        <v>239800</v>
      </c>
      <c r="AI52" s="2">
        <f t="shared" si="14"/>
        <v>259600</v>
      </c>
      <c r="AJ52" s="2">
        <f t="shared" si="14"/>
        <v>259600</v>
      </c>
      <c r="AK52" s="2">
        <f t="shared" si="14"/>
        <v>274600</v>
      </c>
    </row>
    <row r="53" spans="1:37" x14ac:dyDescent="0.25">
      <c r="A53" s="144"/>
      <c r="B53" s="142"/>
      <c r="C53" s="142"/>
      <c r="D53" s="142"/>
      <c r="E53" s="142"/>
      <c r="F53" s="142"/>
      <c r="G53" s="142"/>
      <c r="H53" s="142"/>
      <c r="I53" s="143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</row>
    <row r="54" spans="1:37" x14ac:dyDescent="0.25">
      <c r="A54" s="145"/>
      <c r="B54" s="142"/>
      <c r="C54" s="142"/>
      <c r="D54" s="142"/>
      <c r="E54" s="142"/>
      <c r="F54" s="142"/>
      <c r="G54" s="142"/>
      <c r="H54" s="142"/>
      <c r="I54" s="143"/>
      <c r="J54" s="142"/>
      <c r="K54" s="142"/>
      <c r="L54" s="142"/>
      <c r="M54" s="142"/>
      <c r="N54" s="142"/>
      <c r="O54" s="142"/>
      <c r="P54" s="142"/>
      <c r="Q54" s="142"/>
      <c r="R54" s="143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</row>
    <row r="55" spans="1:37" x14ac:dyDescent="0.25">
      <c r="A55" s="146" t="s">
        <v>222</v>
      </c>
    </row>
    <row r="56" spans="1:37" ht="27" x14ac:dyDescent="0.25">
      <c r="A56" s="54" t="s">
        <v>223</v>
      </c>
      <c r="B56" s="147" t="e">
        <f>B36/'Планирование выручки'!B11</f>
        <v>#DIV/0!</v>
      </c>
      <c r="C56" s="147">
        <f>C36/'Планирование выручки'!C11</f>
        <v>0.67708333333333337</v>
      </c>
      <c r="D56" s="147">
        <f>D36/'Планирование выручки'!D11</f>
        <v>0.49242424242424243</v>
      </c>
      <c r="E56" s="147">
        <f>E36/'Планирование выручки'!E11</f>
        <v>0.50595238095238093</v>
      </c>
      <c r="F56" s="147">
        <f>F36/'Планирование выручки'!F11</f>
        <v>0.41666666666666669</v>
      </c>
      <c r="G56" s="147">
        <f>G36/'Планирование выручки'!G11</f>
        <v>0.35416666666666669</v>
      </c>
      <c r="H56" s="147">
        <f>H36/'Планирование выручки'!H11</f>
        <v>0.39930555555555558</v>
      </c>
      <c r="I56" s="147">
        <f>I36/'Планирование выручки'!I11</f>
        <v>0.38793103448275862</v>
      </c>
      <c r="J56" s="147">
        <f>J36/'Планирование выручки'!J11</f>
        <v>0.33088235294117646</v>
      </c>
      <c r="K56" s="147">
        <f>K36/'Планирование выручки'!K11</f>
        <v>0.38759689922480622</v>
      </c>
      <c r="L56" s="147">
        <f>L36/'Планирование выручки'!L11</f>
        <v>0.34591194968553457</v>
      </c>
      <c r="M56" s="147">
        <f>M36/'Планирование выручки'!M11</f>
        <v>0.36290322580645162</v>
      </c>
      <c r="N56" s="147">
        <f>N36/'Планирование выручки'!N11</f>
        <v>0.33582089552238809</v>
      </c>
      <c r="O56" s="147">
        <f>O36/'Планирование выручки'!O11</f>
        <v>0.36732456140350878</v>
      </c>
      <c r="P56" s="147">
        <f>P36/'Планирование выручки'!P11</f>
        <v>0.3439922480620155</v>
      </c>
      <c r="Q56" s="147">
        <f>Q36/'Планирование выручки'!Q11</f>
        <v>0.32870370370370372</v>
      </c>
      <c r="R56" s="147">
        <f>R36/'Планирование выручки'!R11</f>
        <v>0.31140350877192985</v>
      </c>
      <c r="S56" s="147">
        <f>S36/'Планирование выручки'!S11</f>
        <v>0.3342013888888889</v>
      </c>
      <c r="T56" s="147">
        <f>T36/'Планирование выручки'!T11</f>
        <v>0.34793814432989689</v>
      </c>
      <c r="U56" s="147">
        <f>U36/'Планирование выручки'!U11</f>
        <v>0.33088235294117646</v>
      </c>
      <c r="V56" s="147">
        <f>V36/'Планирование выручки'!V11</f>
        <v>0.31839622641509435</v>
      </c>
      <c r="W56" s="147">
        <f>W36/'Планирование выручки'!W11</f>
        <v>0.33764367816091956</v>
      </c>
      <c r="X56" s="147">
        <f>X36/'Планирование выручки'!X11</f>
        <v>0.32666666666666666</v>
      </c>
      <c r="Y56" s="147">
        <f>Y36/'Планирование выручки'!Y11</f>
        <v>0.33582089552238809</v>
      </c>
      <c r="Z56" s="147">
        <f>Z36/'Планирование выручки'!Z11</f>
        <v>0.32374100719424459</v>
      </c>
      <c r="AA56" s="147">
        <f>AA36/'Планирование выручки'!AA11</f>
        <v>0.3383668903803132</v>
      </c>
      <c r="AB56" s="147">
        <f>AB36/'Планирование выручки'!AB11</f>
        <v>0.32964135021097046</v>
      </c>
      <c r="AC56" s="147">
        <f>AC36/'Планирование выручки'!AC11</f>
        <v>0.31952965235173825</v>
      </c>
      <c r="AD56" s="147">
        <f>AD36/'Планирование выручки'!AD11</f>
        <v>0.31187624750499005</v>
      </c>
      <c r="AE56" s="147">
        <f>AE36/'Планирование выручки'!AE11</f>
        <v>0.32490079365079366</v>
      </c>
      <c r="AF56" s="147">
        <f>AF36/'Планирование выручки'!AF11</f>
        <v>0.33284023668639051</v>
      </c>
      <c r="AG56" s="147">
        <f>AG36/'Планирование выручки'!AG11</f>
        <v>0.32327586206896552</v>
      </c>
      <c r="AH56" s="147">
        <f>AH36/'Планирование выручки'!AH11</f>
        <v>0.31424581005586594</v>
      </c>
      <c r="AI56" s="147">
        <f>AI36/'Планирование выручки'!AI11</f>
        <v>0.32801418439716312</v>
      </c>
      <c r="AJ56" s="147">
        <f>AJ36/'Планирование выручки'!AJ11</f>
        <v>0.32148900169204736</v>
      </c>
      <c r="AK56" s="147">
        <f>AK36/'Планирование выручки'!AK11</f>
        <v>0.32608695652173914</v>
      </c>
    </row>
    <row r="60" spans="1:37" x14ac:dyDescent="0.25">
      <c r="Y60" s="193"/>
    </row>
  </sheetData>
  <sheetProtection password="CA41" sheet="1" objects="1" scenarios="1"/>
  <mergeCells count="2">
    <mergeCell ref="A2:A3"/>
    <mergeCell ref="A31:I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2"/>
  <sheetViews>
    <sheetView workbookViewId="0">
      <pane xSplit="1" topLeftCell="O1" activePane="topRight" state="frozen"/>
      <selection activeCell="E23" sqref="E23"/>
      <selection pane="topRight" activeCell="E23" sqref="E23"/>
    </sheetView>
  </sheetViews>
  <sheetFormatPr defaultRowHeight="13.5" x14ac:dyDescent="0.25"/>
  <cols>
    <col min="1" max="1" width="40" style="48" customWidth="1"/>
    <col min="2" max="2" width="12.85546875" style="48" customWidth="1"/>
    <col min="3" max="9" width="11.140625" style="48" customWidth="1"/>
    <col min="10" max="16384" width="9.140625" style="48"/>
  </cols>
  <sheetData>
    <row r="1" spans="1:37" x14ac:dyDescent="0.25">
      <c r="A1" s="14" t="s">
        <v>224</v>
      </c>
      <c r="B1" s="132" t="s">
        <v>225</v>
      </c>
      <c r="C1" s="126"/>
    </row>
    <row r="2" spans="1:37" ht="27" x14ac:dyDescent="0.25">
      <c r="A2" s="44" t="s">
        <v>226</v>
      </c>
      <c r="B2" s="13">
        <f>'Исходные данные'!$F$30</f>
        <v>3.5</v>
      </c>
      <c r="C2" s="126"/>
    </row>
    <row r="3" spans="1:37" ht="27" x14ac:dyDescent="0.25">
      <c r="A3" s="44" t="s">
        <v>227</v>
      </c>
      <c r="B3" s="129">
        <f>'Исходные данные'!$F$31</f>
        <v>1500</v>
      </c>
      <c r="C3" s="142"/>
    </row>
    <row r="4" spans="1:37" x14ac:dyDescent="0.25">
      <c r="A4" s="44" t="s">
        <v>228</v>
      </c>
      <c r="B4" s="129">
        <f>'Исходные данные'!$F$35</f>
        <v>15</v>
      </c>
      <c r="C4" s="142"/>
    </row>
    <row r="5" spans="1:37" x14ac:dyDescent="0.25">
      <c r="A5" s="44" t="s">
        <v>229</v>
      </c>
      <c r="B5" s="129">
        <f>'Исходные данные'!$F$36</f>
        <v>3</v>
      </c>
      <c r="C5" s="142"/>
    </row>
    <row r="6" spans="1:37" x14ac:dyDescent="0.25">
      <c r="A6" s="194"/>
      <c r="B6" s="127"/>
      <c r="C6" s="126"/>
    </row>
    <row r="8" spans="1:37" ht="27" x14ac:dyDescent="0.25">
      <c r="A8" s="14" t="s">
        <v>125</v>
      </c>
      <c r="B8" s="14" t="s">
        <v>126</v>
      </c>
      <c r="C8" s="14" t="s">
        <v>127</v>
      </c>
      <c r="D8" s="14" t="s">
        <v>128</v>
      </c>
      <c r="E8" s="14" t="s">
        <v>129</v>
      </c>
      <c r="F8" s="14" t="s">
        <v>130</v>
      </c>
      <c r="G8" s="14" t="s">
        <v>131</v>
      </c>
      <c r="H8" s="14" t="s">
        <v>132</v>
      </c>
      <c r="I8" s="14" t="s">
        <v>133</v>
      </c>
      <c r="J8" s="14" t="s">
        <v>134</v>
      </c>
      <c r="K8" s="14" t="s">
        <v>135</v>
      </c>
      <c r="L8" s="14" t="s">
        <v>136</v>
      </c>
      <c r="M8" s="14" t="s">
        <v>137</v>
      </c>
      <c r="N8" s="14" t="s">
        <v>138</v>
      </c>
      <c r="O8" s="14" t="s">
        <v>139</v>
      </c>
      <c r="P8" s="14" t="s">
        <v>140</v>
      </c>
      <c r="Q8" s="14" t="s">
        <v>141</v>
      </c>
      <c r="R8" s="14" t="s">
        <v>142</v>
      </c>
      <c r="S8" s="14" t="s">
        <v>143</v>
      </c>
      <c r="T8" s="14" t="s">
        <v>144</v>
      </c>
      <c r="U8" s="14" t="s">
        <v>145</v>
      </c>
      <c r="V8" s="14" t="s">
        <v>146</v>
      </c>
      <c r="W8" s="14" t="s">
        <v>147</v>
      </c>
      <c r="X8" s="14" t="s">
        <v>148</v>
      </c>
      <c r="Y8" s="14" t="s">
        <v>149</v>
      </c>
      <c r="Z8" s="14" t="s">
        <v>150</v>
      </c>
      <c r="AA8" s="14" t="s">
        <v>151</v>
      </c>
      <c r="AB8" s="14" t="s">
        <v>152</v>
      </c>
      <c r="AC8" s="14" t="s">
        <v>153</v>
      </c>
      <c r="AD8" s="14" t="s">
        <v>154</v>
      </c>
      <c r="AE8" s="14" t="s">
        <v>155</v>
      </c>
      <c r="AF8" s="14" t="s">
        <v>156</v>
      </c>
      <c r="AG8" s="14" t="s">
        <v>157</v>
      </c>
      <c r="AH8" s="14" t="s">
        <v>158</v>
      </c>
      <c r="AI8" s="14" t="s">
        <v>159</v>
      </c>
      <c r="AJ8" s="14" t="s">
        <v>160</v>
      </c>
      <c r="AK8" s="14" t="s">
        <v>161</v>
      </c>
    </row>
    <row r="9" spans="1:37" x14ac:dyDescent="0.25">
      <c r="A9" s="239" t="s">
        <v>230</v>
      </c>
      <c r="B9" s="239"/>
      <c r="C9" s="239"/>
      <c r="D9" s="239"/>
      <c r="E9" s="239"/>
      <c r="F9" s="239"/>
      <c r="G9" s="239"/>
      <c r="H9" s="239"/>
      <c r="I9" s="239"/>
    </row>
    <row r="10" spans="1:37" x14ac:dyDescent="0.25">
      <c r="A10" s="45" t="s">
        <v>231</v>
      </c>
      <c r="B10" s="131">
        <f>'Планирование персонала'!B30</f>
        <v>2</v>
      </c>
      <c r="C10" s="131">
        <f>'Планирование персонала'!C30</f>
        <v>5</v>
      </c>
      <c r="D10" s="131">
        <f>'Планирование персонала'!D30</f>
        <v>5</v>
      </c>
      <c r="E10" s="131">
        <f>'Планирование персонала'!E30</f>
        <v>6</v>
      </c>
      <c r="F10" s="131">
        <f>'Планирование персонала'!F30</f>
        <v>6</v>
      </c>
      <c r="G10" s="131">
        <f>'Планирование персонала'!G30</f>
        <v>6</v>
      </c>
      <c r="H10" s="131">
        <f>'Планирование персонала'!H30</f>
        <v>7</v>
      </c>
      <c r="I10" s="131">
        <f>'Планирование персонала'!I30</f>
        <v>8</v>
      </c>
      <c r="J10" s="131">
        <f>'Планирование персонала'!J30</f>
        <v>8</v>
      </c>
      <c r="K10" s="131">
        <f>'Планирование персонала'!K30</f>
        <v>10</v>
      </c>
      <c r="L10" s="131">
        <f>'Планирование персонала'!L30</f>
        <v>13</v>
      </c>
      <c r="M10" s="131">
        <f>'Планирование персонала'!M30</f>
        <v>15</v>
      </c>
      <c r="N10" s="131">
        <f>'Планирование персонала'!N30</f>
        <v>15</v>
      </c>
      <c r="O10" s="131">
        <f>'Планирование персонала'!O30</f>
        <v>17</v>
      </c>
      <c r="P10" s="131">
        <f>'Планирование персонала'!P30</f>
        <v>18</v>
      </c>
      <c r="Q10" s="131">
        <f>'Планирование персонала'!Q30</f>
        <v>18</v>
      </c>
      <c r="R10" s="131">
        <f>'Планирование персонала'!R30</f>
        <v>18</v>
      </c>
      <c r="S10" s="131">
        <f>'Планирование персонала'!S30</f>
        <v>19</v>
      </c>
      <c r="T10" s="131">
        <f>'Планирование персонала'!T30</f>
        <v>20</v>
      </c>
      <c r="U10" s="131">
        <f>'Планирование персонала'!U30</f>
        <v>20</v>
      </c>
      <c r="V10" s="131">
        <f>'Планирование персонала'!V30</f>
        <v>20</v>
      </c>
      <c r="W10" s="131">
        <f>'Планирование персонала'!W30</f>
        <v>22</v>
      </c>
      <c r="X10" s="131">
        <f>'Планирование персонала'!X30</f>
        <v>23</v>
      </c>
      <c r="Y10" s="131">
        <f>'Планирование персонала'!Y30</f>
        <v>25</v>
      </c>
      <c r="Z10" s="131">
        <f>'Планирование персонала'!Z30</f>
        <v>25</v>
      </c>
      <c r="AA10" s="131">
        <f>'Планирование персонала'!AA30</f>
        <v>27</v>
      </c>
      <c r="AB10" s="131">
        <f>'Планирование персонала'!AB30</f>
        <v>29</v>
      </c>
      <c r="AC10" s="131">
        <f>'Планирование персонала'!AC30</f>
        <v>29</v>
      </c>
      <c r="AD10" s="131">
        <f>'Планирование персонала'!AD30</f>
        <v>29</v>
      </c>
      <c r="AE10" s="131">
        <f>'Планирование персонала'!AE30</f>
        <v>30</v>
      </c>
      <c r="AF10" s="131">
        <f>'Планирование персонала'!AF30</f>
        <v>31</v>
      </c>
      <c r="AG10" s="131">
        <f>'Планирование персонала'!AG30</f>
        <v>31</v>
      </c>
      <c r="AH10" s="131">
        <f>'Планирование персонала'!AH30</f>
        <v>31</v>
      </c>
      <c r="AI10" s="131">
        <f>'Планирование персонала'!AI30</f>
        <v>33</v>
      </c>
      <c r="AJ10" s="131">
        <f>'Планирование персонала'!AJ30</f>
        <v>34</v>
      </c>
      <c r="AK10" s="131">
        <f>'Планирование персонала'!AK30</f>
        <v>36</v>
      </c>
    </row>
    <row r="11" spans="1:37" x14ac:dyDescent="0.25">
      <c r="A11" s="45" t="s">
        <v>232</v>
      </c>
      <c r="B11" s="131">
        <f t="shared" ref="B11:AK11" si="0">IF($B$2*B10&lt;=($B$4+10),$B$4,CEILING($B$2*B10,$B$5))</f>
        <v>15</v>
      </c>
      <c r="C11" s="131">
        <f t="shared" si="0"/>
        <v>15</v>
      </c>
      <c r="D11" s="131">
        <f t="shared" si="0"/>
        <v>15</v>
      </c>
      <c r="E11" s="131">
        <f t="shared" si="0"/>
        <v>15</v>
      </c>
      <c r="F11" s="131">
        <f t="shared" si="0"/>
        <v>15</v>
      </c>
      <c r="G11" s="131">
        <f t="shared" si="0"/>
        <v>15</v>
      </c>
      <c r="H11" s="131">
        <f t="shared" si="0"/>
        <v>15</v>
      </c>
      <c r="I11" s="131">
        <f t="shared" si="0"/>
        <v>30</v>
      </c>
      <c r="J11" s="131">
        <f t="shared" si="0"/>
        <v>30</v>
      </c>
      <c r="K11" s="131">
        <f t="shared" si="0"/>
        <v>36</v>
      </c>
      <c r="L11" s="131">
        <f t="shared" si="0"/>
        <v>48</v>
      </c>
      <c r="M11" s="131">
        <f t="shared" si="0"/>
        <v>54</v>
      </c>
      <c r="N11" s="131">
        <f t="shared" si="0"/>
        <v>54</v>
      </c>
      <c r="O11" s="131">
        <f t="shared" si="0"/>
        <v>60</v>
      </c>
      <c r="P11" s="131">
        <f t="shared" si="0"/>
        <v>63</v>
      </c>
      <c r="Q11" s="131">
        <f t="shared" si="0"/>
        <v>63</v>
      </c>
      <c r="R11" s="131">
        <f t="shared" si="0"/>
        <v>63</v>
      </c>
      <c r="S11" s="131">
        <f t="shared" si="0"/>
        <v>69</v>
      </c>
      <c r="T11" s="131">
        <f t="shared" si="0"/>
        <v>72</v>
      </c>
      <c r="U11" s="131">
        <f t="shared" si="0"/>
        <v>72</v>
      </c>
      <c r="V11" s="131">
        <f t="shared" si="0"/>
        <v>72</v>
      </c>
      <c r="W11" s="131">
        <f t="shared" si="0"/>
        <v>78</v>
      </c>
      <c r="X11" s="131">
        <f t="shared" si="0"/>
        <v>81</v>
      </c>
      <c r="Y11" s="131">
        <f t="shared" si="0"/>
        <v>90</v>
      </c>
      <c r="Z11" s="131">
        <f t="shared" si="0"/>
        <v>90</v>
      </c>
      <c r="AA11" s="131">
        <f t="shared" si="0"/>
        <v>96</v>
      </c>
      <c r="AB11" s="131">
        <f t="shared" si="0"/>
        <v>102</v>
      </c>
      <c r="AC11" s="131">
        <f t="shared" si="0"/>
        <v>102</v>
      </c>
      <c r="AD11" s="131">
        <f t="shared" si="0"/>
        <v>102</v>
      </c>
      <c r="AE11" s="131">
        <f t="shared" si="0"/>
        <v>105</v>
      </c>
      <c r="AF11" s="131">
        <f t="shared" si="0"/>
        <v>111</v>
      </c>
      <c r="AG11" s="131">
        <f t="shared" si="0"/>
        <v>111</v>
      </c>
      <c r="AH11" s="131">
        <f t="shared" si="0"/>
        <v>111</v>
      </c>
      <c r="AI11" s="131">
        <f t="shared" si="0"/>
        <v>117</v>
      </c>
      <c r="AJ11" s="131">
        <f t="shared" si="0"/>
        <v>120</v>
      </c>
      <c r="AK11" s="131">
        <f t="shared" si="0"/>
        <v>126</v>
      </c>
    </row>
    <row r="12" spans="1:37" x14ac:dyDescent="0.25">
      <c r="A12" s="163" t="s">
        <v>233</v>
      </c>
      <c r="B12" s="2">
        <f>B11*$B$3</f>
        <v>22500</v>
      </c>
      <c r="C12" s="2">
        <f t="shared" ref="C12:AK12" si="1">C11*$B$3</f>
        <v>22500</v>
      </c>
      <c r="D12" s="2">
        <f t="shared" si="1"/>
        <v>22500</v>
      </c>
      <c r="E12" s="2">
        <f t="shared" si="1"/>
        <v>22500</v>
      </c>
      <c r="F12" s="2">
        <f t="shared" si="1"/>
        <v>22500</v>
      </c>
      <c r="G12" s="2">
        <f t="shared" si="1"/>
        <v>22500</v>
      </c>
      <c r="H12" s="2">
        <f t="shared" si="1"/>
        <v>22500</v>
      </c>
      <c r="I12" s="2">
        <f t="shared" si="1"/>
        <v>45000</v>
      </c>
      <c r="J12" s="2">
        <f t="shared" si="1"/>
        <v>45000</v>
      </c>
      <c r="K12" s="2">
        <f t="shared" si="1"/>
        <v>54000</v>
      </c>
      <c r="L12" s="2">
        <f t="shared" si="1"/>
        <v>72000</v>
      </c>
      <c r="M12" s="2">
        <f t="shared" si="1"/>
        <v>81000</v>
      </c>
      <c r="N12" s="2">
        <f t="shared" si="1"/>
        <v>81000</v>
      </c>
      <c r="O12" s="2">
        <f t="shared" si="1"/>
        <v>90000</v>
      </c>
      <c r="P12" s="2">
        <f t="shared" si="1"/>
        <v>94500</v>
      </c>
      <c r="Q12" s="2">
        <f t="shared" si="1"/>
        <v>94500</v>
      </c>
      <c r="R12" s="2">
        <f t="shared" si="1"/>
        <v>94500</v>
      </c>
      <c r="S12" s="2">
        <f t="shared" si="1"/>
        <v>103500</v>
      </c>
      <c r="T12" s="2">
        <f t="shared" si="1"/>
        <v>108000</v>
      </c>
      <c r="U12" s="2">
        <f t="shared" si="1"/>
        <v>108000</v>
      </c>
      <c r="V12" s="2">
        <f t="shared" si="1"/>
        <v>108000</v>
      </c>
      <c r="W12" s="2">
        <f t="shared" si="1"/>
        <v>117000</v>
      </c>
      <c r="X12" s="2">
        <f t="shared" si="1"/>
        <v>121500</v>
      </c>
      <c r="Y12" s="2">
        <f t="shared" si="1"/>
        <v>135000</v>
      </c>
      <c r="Z12" s="2">
        <f t="shared" si="1"/>
        <v>135000</v>
      </c>
      <c r="AA12" s="2">
        <f t="shared" si="1"/>
        <v>144000</v>
      </c>
      <c r="AB12" s="2">
        <f t="shared" si="1"/>
        <v>153000</v>
      </c>
      <c r="AC12" s="2">
        <f t="shared" si="1"/>
        <v>153000</v>
      </c>
      <c r="AD12" s="2">
        <f t="shared" si="1"/>
        <v>153000</v>
      </c>
      <c r="AE12" s="2">
        <f t="shared" si="1"/>
        <v>157500</v>
      </c>
      <c r="AF12" s="2">
        <f t="shared" si="1"/>
        <v>166500</v>
      </c>
      <c r="AG12" s="2">
        <f t="shared" si="1"/>
        <v>166500</v>
      </c>
      <c r="AH12" s="2">
        <f t="shared" si="1"/>
        <v>166500</v>
      </c>
      <c r="AI12" s="2">
        <f t="shared" si="1"/>
        <v>175500</v>
      </c>
      <c r="AJ12" s="2">
        <f t="shared" si="1"/>
        <v>180000</v>
      </c>
      <c r="AK12" s="2">
        <f t="shared" si="1"/>
        <v>189000</v>
      </c>
    </row>
    <row r="13" spans="1:37" s="183" customFormat="1" x14ac:dyDescent="0.25">
      <c r="A13" s="164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</row>
    <row r="14" spans="1:37" s="183" customFormat="1" x14ac:dyDescent="0.25">
      <c r="A14" s="163" t="s">
        <v>222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83" customFormat="1" ht="27" x14ac:dyDescent="0.25">
      <c r="A15" s="163" t="s">
        <v>234</v>
      </c>
      <c r="B15" s="2">
        <f>'Планирование персонала'!B13</f>
        <v>0</v>
      </c>
      <c r="C15" s="2">
        <f>'Планирование персонала'!C13</f>
        <v>2</v>
      </c>
      <c r="D15" s="2">
        <f>'Планирование персонала'!D13</f>
        <v>2</v>
      </c>
      <c r="E15" s="2">
        <f>'Планирование персонала'!E13</f>
        <v>3</v>
      </c>
      <c r="F15" s="2">
        <f>'Планирование персонала'!F13</f>
        <v>3</v>
      </c>
      <c r="G15" s="2">
        <f>'Планирование персонала'!G13</f>
        <v>3</v>
      </c>
      <c r="H15" s="2">
        <f>'Планирование персонала'!H13</f>
        <v>4</v>
      </c>
      <c r="I15" s="2">
        <f>'Планирование персонала'!I13</f>
        <v>5</v>
      </c>
      <c r="J15" s="2">
        <f>'Планирование персонала'!J13</f>
        <v>5</v>
      </c>
      <c r="K15" s="2">
        <f>'Планирование персонала'!K13</f>
        <v>7</v>
      </c>
      <c r="L15" s="2">
        <f>'Планирование персонала'!L13</f>
        <v>8</v>
      </c>
      <c r="M15" s="2">
        <f>'Планирование персонала'!M13</f>
        <v>10</v>
      </c>
      <c r="N15" s="2">
        <f>'Планирование персонала'!N13</f>
        <v>10</v>
      </c>
      <c r="O15" s="2">
        <f>'Планирование персонала'!O13</f>
        <v>12</v>
      </c>
      <c r="P15" s="2">
        <f>'Планирование персонала'!P13</f>
        <v>13</v>
      </c>
      <c r="Q15" s="2">
        <f>'Планирование персонала'!Q13</f>
        <v>13</v>
      </c>
      <c r="R15" s="2">
        <f>'Планирование персонала'!R13</f>
        <v>13</v>
      </c>
      <c r="S15" s="2">
        <f>'Планирование персонала'!S13</f>
        <v>14</v>
      </c>
      <c r="T15" s="2">
        <f>'Планирование персонала'!T13</f>
        <v>15</v>
      </c>
      <c r="U15" s="2">
        <f>'Планирование персонала'!U13</f>
        <v>15</v>
      </c>
      <c r="V15" s="2">
        <f>'Планирование персонала'!V13</f>
        <v>15</v>
      </c>
      <c r="W15" s="2">
        <f>'Планирование персонала'!W13</f>
        <v>17</v>
      </c>
      <c r="X15" s="2">
        <f>'Планирование персонала'!X13</f>
        <v>18</v>
      </c>
      <c r="Y15" s="2">
        <f>'Планирование персонала'!Y13</f>
        <v>20</v>
      </c>
      <c r="Z15" s="2">
        <f>'Планирование персонала'!Z13</f>
        <v>20</v>
      </c>
      <c r="AA15" s="2">
        <f>'Планирование персонала'!AA13</f>
        <v>22</v>
      </c>
      <c r="AB15" s="2">
        <f>'Планирование персонала'!AB13</f>
        <v>23</v>
      </c>
      <c r="AC15" s="2">
        <f>'Планирование персонала'!AC13</f>
        <v>23</v>
      </c>
      <c r="AD15" s="2">
        <f>'Планирование персонала'!AD13</f>
        <v>23</v>
      </c>
      <c r="AE15" s="2">
        <f>'Планирование персонала'!AE13</f>
        <v>24</v>
      </c>
      <c r="AF15" s="2">
        <f>'Планирование персонала'!AF13</f>
        <v>25</v>
      </c>
      <c r="AG15" s="2">
        <f>'Планирование персонала'!AG13</f>
        <v>25</v>
      </c>
      <c r="AH15" s="2">
        <f>'Планирование персонала'!AH13</f>
        <v>25</v>
      </c>
      <c r="AI15" s="2">
        <f>'Планирование персонала'!AI13</f>
        <v>27</v>
      </c>
      <c r="AJ15" s="2">
        <f>'Планирование персонала'!AJ13</f>
        <v>28</v>
      </c>
      <c r="AK15" s="2">
        <f>'Планирование персонала'!AK13</f>
        <v>30</v>
      </c>
    </row>
    <row r="16" spans="1:37" s="183" customFormat="1" ht="27" x14ac:dyDescent="0.25">
      <c r="A16" s="163" t="s">
        <v>235</v>
      </c>
      <c r="B16" s="147">
        <f>B15/B10</f>
        <v>0</v>
      </c>
      <c r="C16" s="147">
        <f t="shared" ref="C16:AK16" si="2">C15/C10</f>
        <v>0.4</v>
      </c>
      <c r="D16" s="147">
        <f t="shared" si="2"/>
        <v>0.4</v>
      </c>
      <c r="E16" s="147">
        <f t="shared" si="2"/>
        <v>0.5</v>
      </c>
      <c r="F16" s="147">
        <f t="shared" si="2"/>
        <v>0.5</v>
      </c>
      <c r="G16" s="147">
        <f t="shared" si="2"/>
        <v>0.5</v>
      </c>
      <c r="H16" s="147">
        <f t="shared" si="2"/>
        <v>0.5714285714285714</v>
      </c>
      <c r="I16" s="147">
        <f t="shared" si="2"/>
        <v>0.625</v>
      </c>
      <c r="J16" s="147">
        <f t="shared" si="2"/>
        <v>0.625</v>
      </c>
      <c r="K16" s="147">
        <f t="shared" si="2"/>
        <v>0.7</v>
      </c>
      <c r="L16" s="147">
        <f t="shared" si="2"/>
        <v>0.61538461538461542</v>
      </c>
      <c r="M16" s="147">
        <f t="shared" si="2"/>
        <v>0.66666666666666663</v>
      </c>
      <c r="N16" s="147">
        <f t="shared" si="2"/>
        <v>0.66666666666666663</v>
      </c>
      <c r="O16" s="147">
        <f t="shared" si="2"/>
        <v>0.70588235294117652</v>
      </c>
      <c r="P16" s="147">
        <f t="shared" si="2"/>
        <v>0.72222222222222221</v>
      </c>
      <c r="Q16" s="147">
        <f t="shared" si="2"/>
        <v>0.72222222222222221</v>
      </c>
      <c r="R16" s="147">
        <f t="shared" si="2"/>
        <v>0.72222222222222221</v>
      </c>
      <c r="S16" s="147">
        <f t="shared" si="2"/>
        <v>0.73684210526315785</v>
      </c>
      <c r="T16" s="147">
        <f t="shared" si="2"/>
        <v>0.75</v>
      </c>
      <c r="U16" s="147">
        <f t="shared" si="2"/>
        <v>0.75</v>
      </c>
      <c r="V16" s="147">
        <f t="shared" si="2"/>
        <v>0.75</v>
      </c>
      <c r="W16" s="147">
        <f t="shared" si="2"/>
        <v>0.77272727272727271</v>
      </c>
      <c r="X16" s="147">
        <f t="shared" si="2"/>
        <v>0.78260869565217395</v>
      </c>
      <c r="Y16" s="147">
        <f t="shared" si="2"/>
        <v>0.8</v>
      </c>
      <c r="Z16" s="147">
        <f t="shared" si="2"/>
        <v>0.8</v>
      </c>
      <c r="AA16" s="147">
        <f t="shared" si="2"/>
        <v>0.81481481481481477</v>
      </c>
      <c r="AB16" s="147">
        <f t="shared" si="2"/>
        <v>0.7931034482758621</v>
      </c>
      <c r="AC16" s="147">
        <f t="shared" si="2"/>
        <v>0.7931034482758621</v>
      </c>
      <c r="AD16" s="147">
        <f t="shared" si="2"/>
        <v>0.7931034482758621</v>
      </c>
      <c r="AE16" s="147">
        <f t="shared" si="2"/>
        <v>0.8</v>
      </c>
      <c r="AF16" s="147">
        <f t="shared" si="2"/>
        <v>0.80645161290322576</v>
      </c>
      <c r="AG16" s="147">
        <f t="shared" si="2"/>
        <v>0.80645161290322576</v>
      </c>
      <c r="AH16" s="147">
        <f t="shared" si="2"/>
        <v>0.80645161290322576</v>
      </c>
      <c r="AI16" s="147">
        <f t="shared" si="2"/>
        <v>0.81818181818181823</v>
      </c>
      <c r="AJ16" s="147">
        <f t="shared" si="2"/>
        <v>0.82352941176470584</v>
      </c>
      <c r="AK16" s="147">
        <f t="shared" si="2"/>
        <v>0.83333333333333337</v>
      </c>
    </row>
    <row r="17" spans="1:37" ht="27" x14ac:dyDescent="0.25">
      <c r="A17" s="163" t="s">
        <v>236</v>
      </c>
      <c r="B17" s="2">
        <f>CEILING((B12*B16),1)</f>
        <v>0</v>
      </c>
      <c r="C17" s="2">
        <f t="shared" ref="C17:AK17" si="3">CEILING((C12*C16),1)</f>
        <v>9000</v>
      </c>
      <c r="D17" s="2">
        <f t="shared" si="3"/>
        <v>9000</v>
      </c>
      <c r="E17" s="2">
        <f t="shared" si="3"/>
        <v>11250</v>
      </c>
      <c r="F17" s="2">
        <f t="shared" si="3"/>
        <v>11250</v>
      </c>
      <c r="G17" s="2">
        <f t="shared" si="3"/>
        <v>11250</v>
      </c>
      <c r="H17" s="2">
        <f t="shared" si="3"/>
        <v>12858</v>
      </c>
      <c r="I17" s="2">
        <f t="shared" si="3"/>
        <v>28125</v>
      </c>
      <c r="J17" s="2">
        <f t="shared" si="3"/>
        <v>28125</v>
      </c>
      <c r="K17" s="2">
        <f t="shared" si="3"/>
        <v>37800</v>
      </c>
      <c r="L17" s="2">
        <f t="shared" si="3"/>
        <v>44308</v>
      </c>
      <c r="M17" s="2">
        <f t="shared" si="3"/>
        <v>54000</v>
      </c>
      <c r="N17" s="2">
        <f t="shared" si="3"/>
        <v>54000</v>
      </c>
      <c r="O17" s="2">
        <f t="shared" si="3"/>
        <v>63530</v>
      </c>
      <c r="P17" s="2">
        <f t="shared" si="3"/>
        <v>68250</v>
      </c>
      <c r="Q17" s="2">
        <f t="shared" si="3"/>
        <v>68250</v>
      </c>
      <c r="R17" s="2">
        <f t="shared" si="3"/>
        <v>68250</v>
      </c>
      <c r="S17" s="2">
        <f t="shared" si="3"/>
        <v>76264</v>
      </c>
      <c r="T17" s="2">
        <f t="shared" si="3"/>
        <v>81000</v>
      </c>
      <c r="U17" s="2">
        <f t="shared" si="3"/>
        <v>81000</v>
      </c>
      <c r="V17" s="2">
        <f t="shared" si="3"/>
        <v>81000</v>
      </c>
      <c r="W17" s="2">
        <f t="shared" si="3"/>
        <v>90410</v>
      </c>
      <c r="X17" s="2">
        <f t="shared" si="3"/>
        <v>95087</v>
      </c>
      <c r="Y17" s="2">
        <f t="shared" si="3"/>
        <v>108000</v>
      </c>
      <c r="Z17" s="2">
        <f t="shared" si="3"/>
        <v>108000</v>
      </c>
      <c r="AA17" s="2">
        <f t="shared" si="3"/>
        <v>117334</v>
      </c>
      <c r="AB17" s="2">
        <f t="shared" si="3"/>
        <v>121345</v>
      </c>
      <c r="AC17" s="2">
        <f t="shared" si="3"/>
        <v>121345</v>
      </c>
      <c r="AD17" s="2">
        <f t="shared" si="3"/>
        <v>121345</v>
      </c>
      <c r="AE17" s="2">
        <f t="shared" si="3"/>
        <v>126000</v>
      </c>
      <c r="AF17" s="2">
        <f t="shared" si="3"/>
        <v>134275</v>
      </c>
      <c r="AG17" s="2">
        <f t="shared" si="3"/>
        <v>134275</v>
      </c>
      <c r="AH17" s="2">
        <f t="shared" si="3"/>
        <v>134275</v>
      </c>
      <c r="AI17" s="2">
        <f t="shared" si="3"/>
        <v>143591</v>
      </c>
      <c r="AJ17" s="2">
        <f t="shared" si="3"/>
        <v>148236</v>
      </c>
      <c r="AK17" s="2">
        <f t="shared" si="3"/>
        <v>157500</v>
      </c>
    </row>
    <row r="18" spans="1:37" x14ac:dyDescent="0.25">
      <c r="A18" s="164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</row>
    <row r="19" spans="1:37" x14ac:dyDescent="0.25">
      <c r="A19" s="240" t="s">
        <v>237</v>
      </c>
      <c r="B19" s="240"/>
      <c r="C19" s="240"/>
      <c r="D19" s="240"/>
      <c r="E19" s="240"/>
      <c r="F19" s="240"/>
      <c r="G19" s="240"/>
      <c r="H19" s="240"/>
      <c r="I19" s="240"/>
    </row>
    <row r="20" spans="1:37" x14ac:dyDescent="0.25">
      <c r="A20" s="153" t="s">
        <v>238</v>
      </c>
      <c r="B20" s="2">
        <f>B10</f>
        <v>2</v>
      </c>
      <c r="C20" s="2">
        <f t="shared" ref="C20:AK20" si="4">C10-B10</f>
        <v>3</v>
      </c>
      <c r="D20" s="2">
        <f t="shared" si="4"/>
        <v>0</v>
      </c>
      <c r="E20" s="2">
        <f t="shared" si="4"/>
        <v>1</v>
      </c>
      <c r="F20" s="2">
        <f t="shared" si="4"/>
        <v>0</v>
      </c>
      <c r="G20" s="2">
        <f t="shared" si="4"/>
        <v>0</v>
      </c>
      <c r="H20" s="2">
        <f t="shared" si="4"/>
        <v>1</v>
      </c>
      <c r="I20" s="2">
        <f t="shared" si="4"/>
        <v>1</v>
      </c>
      <c r="J20" s="2">
        <f t="shared" si="4"/>
        <v>0</v>
      </c>
      <c r="K20" s="2">
        <f t="shared" si="4"/>
        <v>2</v>
      </c>
      <c r="L20" s="2">
        <f t="shared" si="4"/>
        <v>3</v>
      </c>
      <c r="M20" s="2">
        <f t="shared" si="4"/>
        <v>2</v>
      </c>
      <c r="N20" s="2">
        <f t="shared" si="4"/>
        <v>0</v>
      </c>
      <c r="O20" s="2">
        <f t="shared" si="4"/>
        <v>2</v>
      </c>
      <c r="P20" s="2">
        <f t="shared" si="4"/>
        <v>1</v>
      </c>
      <c r="Q20" s="2">
        <f t="shared" si="4"/>
        <v>0</v>
      </c>
      <c r="R20" s="2">
        <f t="shared" si="4"/>
        <v>0</v>
      </c>
      <c r="S20" s="2">
        <f t="shared" si="4"/>
        <v>1</v>
      </c>
      <c r="T20" s="2">
        <f t="shared" si="4"/>
        <v>1</v>
      </c>
      <c r="U20" s="2">
        <f t="shared" si="4"/>
        <v>0</v>
      </c>
      <c r="V20" s="2">
        <f t="shared" si="4"/>
        <v>0</v>
      </c>
      <c r="W20" s="2">
        <f t="shared" si="4"/>
        <v>2</v>
      </c>
      <c r="X20" s="2">
        <f t="shared" si="4"/>
        <v>1</v>
      </c>
      <c r="Y20" s="2">
        <f t="shared" si="4"/>
        <v>2</v>
      </c>
      <c r="Z20" s="2">
        <f t="shared" si="4"/>
        <v>0</v>
      </c>
      <c r="AA20" s="2">
        <f t="shared" si="4"/>
        <v>2</v>
      </c>
      <c r="AB20" s="2">
        <f t="shared" si="4"/>
        <v>2</v>
      </c>
      <c r="AC20" s="2">
        <f t="shared" si="4"/>
        <v>0</v>
      </c>
      <c r="AD20" s="2">
        <f t="shared" si="4"/>
        <v>0</v>
      </c>
      <c r="AE20" s="2">
        <f t="shared" si="4"/>
        <v>1</v>
      </c>
      <c r="AF20" s="2">
        <f t="shared" si="4"/>
        <v>1</v>
      </c>
      <c r="AG20" s="2">
        <f t="shared" si="4"/>
        <v>0</v>
      </c>
      <c r="AH20" s="2">
        <f t="shared" si="4"/>
        <v>0</v>
      </c>
      <c r="AI20" s="2">
        <f t="shared" si="4"/>
        <v>2</v>
      </c>
      <c r="AJ20" s="2">
        <f t="shared" si="4"/>
        <v>1</v>
      </c>
      <c r="AK20" s="2">
        <f t="shared" si="4"/>
        <v>2</v>
      </c>
    </row>
    <row r="21" spans="1:37" ht="27" x14ac:dyDescent="0.25">
      <c r="A21" s="163" t="s">
        <v>237</v>
      </c>
      <c r="B21" s="165">
        <f>B20*'Исходные данные'!$B$24</f>
        <v>106100</v>
      </c>
      <c r="C21" s="165">
        <f>C20*'Исходные данные'!$B$24</f>
        <v>159150</v>
      </c>
      <c r="D21" s="165">
        <f>D20*'Исходные данные'!$B$24</f>
        <v>0</v>
      </c>
      <c r="E21" s="165">
        <f>E20*'Исходные данные'!$B$24</f>
        <v>53050</v>
      </c>
      <c r="F21" s="165">
        <f>F20*'Исходные данные'!$B$24</f>
        <v>0</v>
      </c>
      <c r="G21" s="165">
        <f>G20*'Исходные данные'!$B$24</f>
        <v>0</v>
      </c>
      <c r="H21" s="165">
        <f>H20*'Исходные данные'!$B$24</f>
        <v>53050</v>
      </c>
      <c r="I21" s="165">
        <f>I20*'Исходные данные'!$B$24</f>
        <v>53050</v>
      </c>
      <c r="J21" s="165">
        <f>J20*'Исходные данные'!$B$24</f>
        <v>0</v>
      </c>
      <c r="K21" s="165">
        <f>K20*'Исходные данные'!$B$24</f>
        <v>106100</v>
      </c>
      <c r="L21" s="165">
        <f>L20*'Исходные данные'!$B$24</f>
        <v>159150</v>
      </c>
      <c r="M21" s="165">
        <f>M20*'Исходные данные'!$B$24</f>
        <v>106100</v>
      </c>
      <c r="N21" s="165">
        <f>N20*'Исходные данные'!$B$24</f>
        <v>0</v>
      </c>
      <c r="O21" s="165">
        <f>O20*'Исходные данные'!$B$24</f>
        <v>106100</v>
      </c>
      <c r="P21" s="165">
        <f>P20*'Исходные данные'!$B$24</f>
        <v>53050</v>
      </c>
      <c r="Q21" s="165">
        <f>Q20*'Исходные данные'!$B$24</f>
        <v>0</v>
      </c>
      <c r="R21" s="165">
        <f>R20*'Исходные данные'!$B$24</f>
        <v>0</v>
      </c>
      <c r="S21" s="165">
        <f>S20*'Исходные данные'!$B$24</f>
        <v>53050</v>
      </c>
      <c r="T21" s="165">
        <f>T20*'Исходные данные'!$B$24</f>
        <v>53050</v>
      </c>
      <c r="U21" s="165">
        <f>U20*'Исходные данные'!$B$24</f>
        <v>0</v>
      </c>
      <c r="V21" s="165">
        <f>V20*'Исходные данные'!$B$24</f>
        <v>0</v>
      </c>
      <c r="W21" s="165">
        <f>W20*'Исходные данные'!$B$24</f>
        <v>106100</v>
      </c>
      <c r="X21" s="165">
        <f>X20*'Исходные данные'!$B$24</f>
        <v>53050</v>
      </c>
      <c r="Y21" s="165">
        <f>Y20*'Исходные данные'!$B$24</f>
        <v>106100</v>
      </c>
      <c r="Z21" s="165">
        <f>Z20*'Исходные данные'!$B$24</f>
        <v>0</v>
      </c>
      <c r="AA21" s="165">
        <f>AA20*'Исходные данные'!$B$24</f>
        <v>106100</v>
      </c>
      <c r="AB21" s="165">
        <f>AB20*'Исходные данные'!$B$24</f>
        <v>106100</v>
      </c>
      <c r="AC21" s="165">
        <f>AC20*'Исходные данные'!$B$24</f>
        <v>0</v>
      </c>
      <c r="AD21" s="165">
        <f>AD20*'Исходные данные'!$B$24</f>
        <v>0</v>
      </c>
      <c r="AE21" s="165">
        <f>AE20*'Исходные данные'!$B$24</f>
        <v>53050</v>
      </c>
      <c r="AF21" s="165">
        <f>AF20*'Исходные данные'!$B$24</f>
        <v>53050</v>
      </c>
      <c r="AG21" s="165">
        <f>AG20*'Исходные данные'!$B$24</f>
        <v>0</v>
      </c>
      <c r="AH21" s="165">
        <f>AH20*'Исходные данные'!$B$24</f>
        <v>0</v>
      </c>
      <c r="AI21" s="165">
        <f>AI20*'Исходные данные'!$B$24</f>
        <v>106100</v>
      </c>
      <c r="AJ21" s="165">
        <f>AJ20*'Исходные данные'!$B$24</f>
        <v>53050</v>
      </c>
      <c r="AK21" s="165">
        <f>AK20*'Исходные данные'!$B$24</f>
        <v>106100</v>
      </c>
    </row>
    <row r="22" spans="1:37" x14ac:dyDescent="0.25">
      <c r="A22" s="122"/>
    </row>
    <row r="23" spans="1:37" x14ac:dyDescent="0.25">
      <c r="A23" s="122"/>
    </row>
    <row r="24" spans="1:37" x14ac:dyDescent="0.25">
      <c r="A24" s="122"/>
    </row>
    <row r="25" spans="1:37" x14ac:dyDescent="0.25">
      <c r="A25" s="122"/>
    </row>
    <row r="26" spans="1:37" x14ac:dyDescent="0.25">
      <c r="A26" s="122"/>
      <c r="B26" s="182"/>
    </row>
    <row r="27" spans="1:37" x14ac:dyDescent="0.25">
      <c r="A27" s="122"/>
      <c r="B27" s="182"/>
    </row>
    <row r="28" spans="1:37" x14ac:dyDescent="0.25">
      <c r="A28" s="122"/>
      <c r="B28" s="182"/>
    </row>
    <row r="29" spans="1:37" x14ac:dyDescent="0.25">
      <c r="A29" s="122"/>
      <c r="B29" s="182"/>
    </row>
    <row r="30" spans="1:37" x14ac:dyDescent="0.25">
      <c r="A30" s="122"/>
      <c r="B30" s="182"/>
    </row>
    <row r="31" spans="1:37" x14ac:dyDescent="0.25">
      <c r="A31" s="122"/>
      <c r="B31" s="182"/>
    </row>
    <row r="32" spans="1:37" x14ac:dyDescent="0.25">
      <c r="A32" s="122"/>
    </row>
  </sheetData>
  <sheetProtection password="CA41" sheet="1" objects="1" scenarios="1"/>
  <mergeCells count="2">
    <mergeCell ref="A9:I9"/>
    <mergeCell ref="A19:I19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7"/>
  <sheetViews>
    <sheetView workbookViewId="0">
      <pane xSplit="1" ySplit="5" topLeftCell="L6" activePane="bottomRight" state="frozen"/>
      <selection activeCell="E23" sqref="E23"/>
      <selection pane="topRight" activeCell="E23" sqref="E23"/>
      <selection pane="bottomLeft" activeCell="E23" sqref="E23"/>
      <selection pane="bottomRight" activeCell="L15" sqref="L15"/>
    </sheetView>
  </sheetViews>
  <sheetFormatPr defaultRowHeight="13.5" outlineLevelRow="1" x14ac:dyDescent="0.25"/>
  <cols>
    <col min="1" max="1" width="49.85546875" style="48" customWidth="1"/>
    <col min="2" max="3" width="12.7109375" style="11" customWidth="1"/>
    <col min="4" max="4" width="13.7109375" style="11" customWidth="1"/>
    <col min="5" max="5" width="16" style="11" customWidth="1"/>
    <col min="6" max="9" width="14" style="11" bestFit="1" customWidth="1"/>
    <col min="10" max="10" width="14" style="12" bestFit="1" customWidth="1"/>
    <col min="11" max="12" width="14" style="11" bestFit="1" customWidth="1"/>
    <col min="13" max="13" width="14" style="196" bestFit="1" customWidth="1"/>
    <col min="14" max="22" width="14" style="11" bestFit="1" customWidth="1"/>
    <col min="23" max="23" width="16.28515625" style="11" customWidth="1"/>
    <col min="24" max="24" width="15.140625" style="11" customWidth="1"/>
    <col min="25" max="25" width="14" style="196" bestFit="1" customWidth="1"/>
    <col min="26" max="27" width="12.7109375" style="11" bestFit="1" customWidth="1"/>
    <col min="28" max="28" width="14" style="11" customWidth="1"/>
    <col min="29" max="29" width="15" style="11" customWidth="1"/>
    <col min="30" max="30" width="13.5703125" style="11" customWidth="1"/>
    <col min="31" max="33" width="13.7109375" style="11" bestFit="1" customWidth="1"/>
    <col min="34" max="36" width="14.28515625" style="11" bestFit="1" customWidth="1"/>
    <col min="37" max="37" width="14" style="196" bestFit="1" customWidth="1"/>
    <col min="38" max="16384" width="9.140625" style="48"/>
  </cols>
  <sheetData>
    <row r="2" spans="1:37" x14ac:dyDescent="0.25">
      <c r="A2" s="195" t="s">
        <v>354</v>
      </c>
    </row>
    <row r="4" spans="1:37" x14ac:dyDescent="0.25">
      <c r="B4" s="14" t="s">
        <v>162</v>
      </c>
      <c r="C4" s="14" t="s">
        <v>163</v>
      </c>
      <c r="D4" s="14" t="s">
        <v>164</v>
      </c>
      <c r="E4" s="14" t="s">
        <v>165</v>
      </c>
      <c r="F4" s="14" t="s">
        <v>166</v>
      </c>
      <c r="G4" s="14" t="s">
        <v>167</v>
      </c>
      <c r="H4" s="14" t="s">
        <v>168</v>
      </c>
      <c r="I4" s="14" t="s">
        <v>169</v>
      </c>
      <c r="J4" s="14" t="s">
        <v>170</v>
      </c>
      <c r="K4" s="14" t="s">
        <v>171</v>
      </c>
      <c r="L4" s="14" t="s">
        <v>172</v>
      </c>
      <c r="M4" s="1" t="s">
        <v>173</v>
      </c>
      <c r="N4" s="14" t="s">
        <v>162</v>
      </c>
      <c r="O4" s="14" t="s">
        <v>168</v>
      </c>
      <c r="P4" s="14" t="s">
        <v>169</v>
      </c>
      <c r="Q4" s="14" t="s">
        <v>170</v>
      </c>
      <c r="R4" s="14" t="s">
        <v>166</v>
      </c>
      <c r="S4" s="14" t="s">
        <v>167</v>
      </c>
      <c r="T4" s="14" t="s">
        <v>168</v>
      </c>
      <c r="U4" s="14" t="s">
        <v>169</v>
      </c>
      <c r="V4" s="14" t="s">
        <v>170</v>
      </c>
      <c r="W4" s="14" t="s">
        <v>171</v>
      </c>
      <c r="X4" s="14" t="s">
        <v>172</v>
      </c>
      <c r="Y4" s="1" t="s">
        <v>173</v>
      </c>
      <c r="Z4" s="14" t="s">
        <v>162</v>
      </c>
      <c r="AA4" s="14" t="s">
        <v>163</v>
      </c>
      <c r="AB4" s="14" t="s">
        <v>164</v>
      </c>
      <c r="AC4" s="14" t="s">
        <v>165</v>
      </c>
      <c r="AD4" s="14" t="s">
        <v>166</v>
      </c>
      <c r="AE4" s="14" t="s">
        <v>167</v>
      </c>
      <c r="AF4" s="14" t="s">
        <v>168</v>
      </c>
      <c r="AG4" s="14" t="s">
        <v>169</v>
      </c>
      <c r="AH4" s="14" t="s">
        <v>170</v>
      </c>
      <c r="AI4" s="14" t="s">
        <v>171</v>
      </c>
      <c r="AJ4" s="14" t="s">
        <v>172</v>
      </c>
      <c r="AK4" s="1" t="s">
        <v>173</v>
      </c>
    </row>
    <row r="5" spans="1:37" x14ac:dyDescent="0.25">
      <c r="A5" s="197" t="s">
        <v>125</v>
      </c>
      <c r="B5" s="14" t="s">
        <v>126</v>
      </c>
      <c r="C5" s="14" t="s">
        <v>127</v>
      </c>
      <c r="D5" s="14" t="s">
        <v>128</v>
      </c>
      <c r="E5" s="14" t="s">
        <v>129</v>
      </c>
      <c r="F5" s="14" t="s">
        <v>130</v>
      </c>
      <c r="G5" s="14" t="s">
        <v>131</v>
      </c>
      <c r="H5" s="14" t="s">
        <v>132</v>
      </c>
      <c r="I5" s="14" t="s">
        <v>133</v>
      </c>
      <c r="J5" s="14" t="s">
        <v>134</v>
      </c>
      <c r="K5" s="14" t="s">
        <v>135</v>
      </c>
      <c r="L5" s="14" t="s">
        <v>136</v>
      </c>
      <c r="M5" s="1" t="s">
        <v>137</v>
      </c>
      <c r="N5" s="14" t="s">
        <v>138</v>
      </c>
      <c r="O5" s="14" t="s">
        <v>139</v>
      </c>
      <c r="P5" s="14" t="s">
        <v>140</v>
      </c>
      <c r="Q5" s="14" t="s">
        <v>141</v>
      </c>
      <c r="R5" s="14" t="s">
        <v>142</v>
      </c>
      <c r="S5" s="14" t="s">
        <v>143</v>
      </c>
      <c r="T5" s="14" t="s">
        <v>144</v>
      </c>
      <c r="U5" s="14" t="s">
        <v>145</v>
      </c>
      <c r="V5" s="14" t="s">
        <v>146</v>
      </c>
      <c r="W5" s="14" t="s">
        <v>147</v>
      </c>
      <c r="X5" s="14" t="s">
        <v>148</v>
      </c>
      <c r="Y5" s="1" t="s">
        <v>149</v>
      </c>
      <c r="Z5" s="14" t="s">
        <v>150</v>
      </c>
      <c r="AA5" s="14" t="s">
        <v>151</v>
      </c>
      <c r="AB5" s="14" t="s">
        <v>152</v>
      </c>
      <c r="AC5" s="14" t="s">
        <v>153</v>
      </c>
      <c r="AD5" s="14" t="s">
        <v>154</v>
      </c>
      <c r="AE5" s="14" t="s">
        <v>155</v>
      </c>
      <c r="AF5" s="14" t="s">
        <v>156</v>
      </c>
      <c r="AG5" s="14" t="s">
        <v>157</v>
      </c>
      <c r="AH5" s="14" t="s">
        <v>158</v>
      </c>
      <c r="AI5" s="14" t="s">
        <v>159</v>
      </c>
      <c r="AJ5" s="14" t="s">
        <v>160</v>
      </c>
      <c r="AK5" s="1" t="s">
        <v>161</v>
      </c>
    </row>
    <row r="6" spans="1:37" x14ac:dyDescent="0.25">
      <c r="A6" s="198" t="s">
        <v>239</v>
      </c>
      <c r="B6" s="14">
        <f>'Планирование выручки'!B9</f>
        <v>0</v>
      </c>
      <c r="C6" s="14">
        <f>'Планирование выручки'!C9</f>
        <v>8</v>
      </c>
      <c r="D6" s="14">
        <f>'Планирование выручки'!D9</f>
        <v>11</v>
      </c>
      <c r="E6" s="14">
        <f>'Планирование выручки'!E9</f>
        <v>14</v>
      </c>
      <c r="F6" s="14">
        <f>'Планирование выручки'!F9</f>
        <v>17</v>
      </c>
      <c r="G6" s="14">
        <f>'Планирование выручки'!G9</f>
        <v>20</v>
      </c>
      <c r="H6" s="14">
        <f>'Планирование выручки'!H9</f>
        <v>24</v>
      </c>
      <c r="I6" s="14">
        <f>'Планирование выручки'!I9</f>
        <v>29</v>
      </c>
      <c r="J6" s="14">
        <f>'Планирование выручки'!J9</f>
        <v>34</v>
      </c>
      <c r="K6" s="14">
        <f>'Планирование выручки'!K9</f>
        <v>43</v>
      </c>
      <c r="L6" s="14">
        <f>'Планирование выручки'!L9</f>
        <v>53</v>
      </c>
      <c r="M6" s="199">
        <f>'Планирование выручки'!M9</f>
        <v>62</v>
      </c>
      <c r="N6" s="14">
        <f>'Планирование выручки'!N9</f>
        <v>67</v>
      </c>
      <c r="O6" s="14">
        <f>'Планирование выручки'!O9</f>
        <v>76</v>
      </c>
      <c r="P6" s="14">
        <f>'Планирование выручки'!P9</f>
        <v>86</v>
      </c>
      <c r="Q6" s="14">
        <f>'Планирование выручки'!Q9</f>
        <v>90</v>
      </c>
      <c r="R6" s="14">
        <f>'Планирование выручки'!R9</f>
        <v>95</v>
      </c>
      <c r="S6" s="14">
        <f>'Планирование выручки'!S9</f>
        <v>96</v>
      </c>
      <c r="T6" s="14">
        <f>'Планирование выручки'!T9</f>
        <v>97</v>
      </c>
      <c r="U6" s="14">
        <f>'Планирование выручки'!U9</f>
        <v>102</v>
      </c>
      <c r="V6" s="14">
        <f>'Планирование выручки'!V9</f>
        <v>106</v>
      </c>
      <c r="W6" s="14">
        <f>'Планирование выручки'!W9</f>
        <v>116</v>
      </c>
      <c r="X6" s="14">
        <f>'Планирование выручки'!X9</f>
        <v>125</v>
      </c>
      <c r="Y6" s="199">
        <f>'Планирование выручки'!Y9</f>
        <v>134</v>
      </c>
      <c r="Z6" s="14">
        <f>'Планирование выручки'!Z9</f>
        <v>139</v>
      </c>
      <c r="AA6" s="14">
        <f>'Планирование выручки'!AA9</f>
        <v>149</v>
      </c>
      <c r="AB6" s="14">
        <f>'Планирование выручки'!AB9</f>
        <v>158</v>
      </c>
      <c r="AC6" s="14">
        <f>'Планирование выручки'!AC9</f>
        <v>163</v>
      </c>
      <c r="AD6" s="14">
        <f>'Планирование выручки'!AD9</f>
        <v>167</v>
      </c>
      <c r="AE6" s="14">
        <f>'Планирование выручки'!AE9</f>
        <v>168</v>
      </c>
      <c r="AF6" s="14">
        <f>'Планирование выручки'!AF9</f>
        <v>169</v>
      </c>
      <c r="AG6" s="14">
        <f>'Планирование выручки'!AG9</f>
        <v>174</v>
      </c>
      <c r="AH6" s="14">
        <f>'Планирование выручки'!AH9</f>
        <v>179</v>
      </c>
      <c r="AI6" s="14">
        <f>'Планирование выручки'!AI9</f>
        <v>188</v>
      </c>
      <c r="AJ6" s="14">
        <f>'Планирование выручки'!AJ9</f>
        <v>197</v>
      </c>
      <c r="AK6" s="199">
        <f>'Планирование выручки'!AK9</f>
        <v>207</v>
      </c>
    </row>
    <row r="7" spans="1:37" outlineLevel="1" x14ac:dyDescent="0.25">
      <c r="A7" s="41" t="s">
        <v>240</v>
      </c>
      <c r="B7" s="120">
        <f>'Планирование выручки'!B13</f>
        <v>0</v>
      </c>
      <c r="C7" s="120">
        <f>'Планирование выручки'!C13</f>
        <v>96000</v>
      </c>
      <c r="D7" s="120">
        <f>'Планирование выручки'!D13</f>
        <v>141600</v>
      </c>
      <c r="E7" s="120">
        <f>'Планирование выручки'!E13</f>
        <v>181200</v>
      </c>
      <c r="F7" s="120">
        <f>'Планирование выручки'!F13</f>
        <v>220800</v>
      </c>
      <c r="G7" s="120">
        <f>'Планирование выручки'!G13</f>
        <v>260400</v>
      </c>
      <c r="H7" s="120">
        <f>'Планирование выручки'!H13</f>
        <v>310800</v>
      </c>
      <c r="I7" s="120">
        <f>'Планирование выручки'!I13</f>
        <v>376800</v>
      </c>
      <c r="J7" s="120">
        <f>'Планирование выручки'!J13</f>
        <v>442800</v>
      </c>
      <c r="K7" s="120">
        <f>'Планирование выручки'!K13</f>
        <v>555600</v>
      </c>
      <c r="L7" s="120">
        <f>'Планирование выручки'!L13</f>
        <v>687600</v>
      </c>
      <c r="M7" s="199">
        <f>'Планирование выручки'!M13</f>
        <v>806400</v>
      </c>
      <c r="N7" s="120">
        <f>'Планирование выручки'!N13</f>
        <v>878400</v>
      </c>
      <c r="O7" s="120">
        <f>'Планирование выручки'!O13</f>
        <v>991200</v>
      </c>
      <c r="P7" s="120">
        <f>'Планирование выручки'!P13</f>
        <v>1123200</v>
      </c>
      <c r="Q7" s="120">
        <f>'Планирование выручки'!Q13</f>
        <v>1182000</v>
      </c>
      <c r="R7" s="120">
        <f>'Планирование выручки'!R13</f>
        <v>1248000</v>
      </c>
      <c r="S7" s="120">
        <f>'Планирование выручки'!S13</f>
        <v>1266000</v>
      </c>
      <c r="T7" s="120">
        <f>'Планирование выручки'!T13</f>
        <v>1279200</v>
      </c>
      <c r="U7" s="120">
        <f>'Планирование выручки'!U13</f>
        <v>1340400</v>
      </c>
      <c r="V7" s="120">
        <f>'Планирование выручки'!V13</f>
        <v>1393200</v>
      </c>
      <c r="W7" s="120">
        <f>'Планирование выручки'!W13</f>
        <v>1519200</v>
      </c>
      <c r="X7" s="120">
        <f>'Планирование выручки'!X13</f>
        <v>1638000</v>
      </c>
      <c r="Y7" s="199">
        <f>'Планирование выручки'!Y13</f>
        <v>1756800</v>
      </c>
      <c r="Z7" s="120">
        <f>'Планирование выручки'!Z13</f>
        <v>1828800</v>
      </c>
      <c r="AA7" s="120">
        <f>'Планирование выручки'!AA13</f>
        <v>1954800</v>
      </c>
      <c r="AB7" s="120">
        <f>'Планирование выручки'!AB13</f>
        <v>2073600</v>
      </c>
      <c r="AC7" s="120">
        <f>'Планирование выручки'!AC13</f>
        <v>2145600</v>
      </c>
      <c r="AD7" s="120">
        <f>'Планирование выручки'!AD13</f>
        <v>2198400</v>
      </c>
      <c r="AE7" s="120">
        <f>'Планирование выручки'!AE13</f>
        <v>2216400</v>
      </c>
      <c r="AF7" s="120">
        <f>'Планирование выручки'!AF13</f>
        <v>2229600</v>
      </c>
      <c r="AG7" s="120">
        <f>'Планирование выручки'!AG13</f>
        <v>2290800</v>
      </c>
      <c r="AH7" s="120">
        <f>'Планирование выручки'!AH13</f>
        <v>2356800</v>
      </c>
      <c r="AI7" s="120">
        <f>'Планирование выручки'!AI13</f>
        <v>2469600</v>
      </c>
      <c r="AJ7" s="120">
        <f>'Планирование выручки'!AJ13</f>
        <v>2588400</v>
      </c>
      <c r="AK7" s="199">
        <f>'Планирование выручки'!AK13</f>
        <v>2720400</v>
      </c>
    </row>
    <row r="8" spans="1:37" x14ac:dyDescent="0.25">
      <c r="A8" s="183"/>
      <c r="B8" s="188"/>
      <c r="C8" s="188"/>
      <c r="D8" s="188"/>
      <c r="E8" s="188"/>
      <c r="F8" s="188"/>
      <c r="G8" s="188"/>
      <c r="H8" s="188"/>
      <c r="I8" s="188"/>
    </row>
    <row r="9" spans="1:37" s="183" customFormat="1" x14ac:dyDescent="0.25">
      <c r="A9" s="200" t="s">
        <v>241</v>
      </c>
      <c r="B9" s="35"/>
      <c r="C9" s="35"/>
      <c r="D9" s="35"/>
      <c r="E9" s="35"/>
      <c r="F9" s="35"/>
      <c r="G9" s="35"/>
      <c r="H9" s="35"/>
      <c r="I9" s="35"/>
      <c r="J9" s="5"/>
      <c r="K9" s="35"/>
      <c r="L9" s="35"/>
      <c r="M9" s="201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201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201"/>
    </row>
    <row r="10" spans="1:37" outlineLevel="1" x14ac:dyDescent="0.25">
      <c r="A10" s="202" t="s">
        <v>242</v>
      </c>
      <c r="B10" s="120">
        <f>'Планирование персонала'!B36</f>
        <v>0</v>
      </c>
      <c r="C10" s="120">
        <f>'Планирование персонала'!C36</f>
        <v>65000</v>
      </c>
      <c r="D10" s="120">
        <f>'Планирование персонала'!D36</f>
        <v>65000</v>
      </c>
      <c r="E10" s="120">
        <f>'Планирование персонала'!E36</f>
        <v>85000</v>
      </c>
      <c r="F10" s="120">
        <f>'Планирование персонала'!F36</f>
        <v>85000</v>
      </c>
      <c r="G10" s="120">
        <f>'Планирование персонала'!G36</f>
        <v>85000</v>
      </c>
      <c r="H10" s="120">
        <f>'Планирование персонала'!H36</f>
        <v>115000</v>
      </c>
      <c r="I10" s="120">
        <f>'Планирование персонала'!I36</f>
        <v>135000</v>
      </c>
      <c r="J10" s="3">
        <f>'Планирование персонала'!J36</f>
        <v>135000</v>
      </c>
      <c r="K10" s="120">
        <f>'Планирование персонала'!K36</f>
        <v>200000</v>
      </c>
      <c r="L10" s="120">
        <f>'Планирование персонала'!L36</f>
        <v>220000</v>
      </c>
      <c r="M10" s="199">
        <f>'Планирование персонала'!M36</f>
        <v>270000</v>
      </c>
      <c r="N10" s="120">
        <f>'Планирование персонала'!N36</f>
        <v>270000</v>
      </c>
      <c r="O10" s="120">
        <f>'Планирование персонала'!O36</f>
        <v>335000</v>
      </c>
      <c r="P10" s="120">
        <f>'Планирование персонала'!P36</f>
        <v>355000</v>
      </c>
      <c r="Q10" s="120">
        <f>'Планирование персонала'!Q36</f>
        <v>355000</v>
      </c>
      <c r="R10" s="120">
        <f>'Планирование персонала'!R36</f>
        <v>355000</v>
      </c>
      <c r="S10" s="120">
        <f>'Планирование персонала'!S36</f>
        <v>385000</v>
      </c>
      <c r="T10" s="120">
        <f>'Планирование персонала'!T36</f>
        <v>405000</v>
      </c>
      <c r="U10" s="120">
        <f>'Планирование персонала'!U36</f>
        <v>405000</v>
      </c>
      <c r="V10" s="120">
        <f>'Планирование персонала'!V36</f>
        <v>405000</v>
      </c>
      <c r="W10" s="120">
        <f>'Планирование персонала'!W36</f>
        <v>470000</v>
      </c>
      <c r="X10" s="120">
        <f>'Планирование персонала'!X36</f>
        <v>490000</v>
      </c>
      <c r="Y10" s="199">
        <f>'Планирование персонала'!Y36</f>
        <v>540000</v>
      </c>
      <c r="Z10" s="120">
        <f>'Планирование персонала'!Z36</f>
        <v>540000</v>
      </c>
      <c r="AA10" s="120">
        <f>'Планирование персонала'!AA36</f>
        <v>605000</v>
      </c>
      <c r="AB10" s="120">
        <f>'Планирование персонала'!AB36</f>
        <v>625000</v>
      </c>
      <c r="AC10" s="120">
        <f>'Планирование персонала'!AC36</f>
        <v>625000</v>
      </c>
      <c r="AD10" s="120">
        <f>'Планирование персонала'!AD36</f>
        <v>625000</v>
      </c>
      <c r="AE10" s="120">
        <f>'Планирование персонала'!AE36</f>
        <v>655000</v>
      </c>
      <c r="AF10" s="120">
        <f>'Планирование персонала'!AF36</f>
        <v>675000</v>
      </c>
      <c r="AG10" s="120">
        <f>'Планирование персонала'!AG36</f>
        <v>675000</v>
      </c>
      <c r="AH10" s="120">
        <f>'Планирование персонала'!AH36</f>
        <v>675000</v>
      </c>
      <c r="AI10" s="120">
        <f>'Планирование персонала'!AI36</f>
        <v>740000</v>
      </c>
      <c r="AJ10" s="120">
        <f>'Планирование персонала'!AJ36</f>
        <v>760000</v>
      </c>
      <c r="AK10" s="199">
        <f>'Планирование персонала'!AK36</f>
        <v>810000</v>
      </c>
    </row>
    <row r="11" spans="1:37" s="183" customFormat="1" x14ac:dyDescent="0.25">
      <c r="A11" s="54" t="s">
        <v>243</v>
      </c>
      <c r="B11" s="120">
        <f>B10*0.3</f>
        <v>0</v>
      </c>
      <c r="C11" s="120">
        <f t="shared" ref="C11:AK11" si="0">C10*0.3</f>
        <v>19500</v>
      </c>
      <c r="D11" s="120">
        <f t="shared" si="0"/>
        <v>19500</v>
      </c>
      <c r="E11" s="120">
        <f t="shared" si="0"/>
        <v>25500</v>
      </c>
      <c r="F11" s="120">
        <f t="shared" si="0"/>
        <v>25500</v>
      </c>
      <c r="G11" s="120">
        <f t="shared" si="0"/>
        <v>25500</v>
      </c>
      <c r="H11" s="120">
        <f t="shared" si="0"/>
        <v>34500</v>
      </c>
      <c r="I11" s="120">
        <f t="shared" si="0"/>
        <v>40500</v>
      </c>
      <c r="J11" s="3">
        <f t="shared" si="0"/>
        <v>40500</v>
      </c>
      <c r="K11" s="120">
        <f t="shared" si="0"/>
        <v>60000</v>
      </c>
      <c r="L11" s="120">
        <f t="shared" si="0"/>
        <v>66000</v>
      </c>
      <c r="M11" s="199">
        <f t="shared" si="0"/>
        <v>81000</v>
      </c>
      <c r="N11" s="120">
        <f t="shared" si="0"/>
        <v>81000</v>
      </c>
      <c r="O11" s="120">
        <f t="shared" si="0"/>
        <v>100500</v>
      </c>
      <c r="P11" s="120">
        <f t="shared" si="0"/>
        <v>106500</v>
      </c>
      <c r="Q11" s="120">
        <f t="shared" si="0"/>
        <v>106500</v>
      </c>
      <c r="R11" s="120">
        <f t="shared" si="0"/>
        <v>106500</v>
      </c>
      <c r="S11" s="120">
        <f t="shared" si="0"/>
        <v>115500</v>
      </c>
      <c r="T11" s="120">
        <f t="shared" si="0"/>
        <v>121500</v>
      </c>
      <c r="U11" s="120">
        <f t="shared" si="0"/>
        <v>121500</v>
      </c>
      <c r="V11" s="120">
        <f t="shared" si="0"/>
        <v>121500</v>
      </c>
      <c r="W11" s="120">
        <f t="shared" si="0"/>
        <v>141000</v>
      </c>
      <c r="X11" s="120">
        <f t="shared" si="0"/>
        <v>147000</v>
      </c>
      <c r="Y11" s="199">
        <f t="shared" si="0"/>
        <v>162000</v>
      </c>
      <c r="Z11" s="120">
        <f t="shared" si="0"/>
        <v>162000</v>
      </c>
      <c r="AA11" s="120">
        <f t="shared" si="0"/>
        <v>181500</v>
      </c>
      <c r="AB11" s="120">
        <f t="shared" si="0"/>
        <v>187500</v>
      </c>
      <c r="AC11" s="120">
        <f t="shared" si="0"/>
        <v>187500</v>
      </c>
      <c r="AD11" s="120">
        <f t="shared" si="0"/>
        <v>187500</v>
      </c>
      <c r="AE11" s="120">
        <f t="shared" si="0"/>
        <v>196500</v>
      </c>
      <c r="AF11" s="120">
        <f t="shared" si="0"/>
        <v>202500</v>
      </c>
      <c r="AG11" s="120">
        <f t="shared" si="0"/>
        <v>202500</v>
      </c>
      <c r="AH11" s="120">
        <f t="shared" si="0"/>
        <v>202500</v>
      </c>
      <c r="AI11" s="120">
        <f t="shared" si="0"/>
        <v>222000</v>
      </c>
      <c r="AJ11" s="120">
        <f t="shared" si="0"/>
        <v>228000</v>
      </c>
      <c r="AK11" s="199">
        <f t="shared" si="0"/>
        <v>243000</v>
      </c>
    </row>
    <row r="12" spans="1:37" x14ac:dyDescent="0.25">
      <c r="A12" s="203" t="s">
        <v>244</v>
      </c>
      <c r="B12" s="3">
        <f>'Планирование выручки'!B9*'Исходные данные'!$F$40</f>
        <v>0</v>
      </c>
      <c r="C12" s="3">
        <f>'Планирование выручки'!C9*'Исходные данные'!$F$40</f>
        <v>568</v>
      </c>
      <c r="D12" s="3">
        <f>'Планирование выручки'!D9*'Исходные данные'!$F$40</f>
        <v>781</v>
      </c>
      <c r="E12" s="3">
        <f>'Планирование выручки'!E9*'Исходные данные'!$F$40</f>
        <v>994</v>
      </c>
      <c r="F12" s="3">
        <f>'Планирование выручки'!F9*'Исходные данные'!$F$40</f>
        <v>1207</v>
      </c>
      <c r="G12" s="3">
        <f>'Планирование выручки'!G9*'Исходные данные'!$F$40</f>
        <v>1420</v>
      </c>
      <c r="H12" s="3">
        <f>'Планирование выручки'!H9*'Исходные данные'!$F$40</f>
        <v>1704</v>
      </c>
      <c r="I12" s="3">
        <f>'Планирование выручки'!I9*'Исходные данные'!$F$40</f>
        <v>2059</v>
      </c>
      <c r="J12" s="3">
        <f>'Планирование выручки'!J9*'Исходные данные'!$F$40</f>
        <v>2414</v>
      </c>
      <c r="K12" s="3">
        <f>'Планирование выручки'!K9*'Исходные данные'!$F$40</f>
        <v>3053</v>
      </c>
      <c r="L12" s="3">
        <f>'Планирование выручки'!L9*'Исходные данные'!$F$40</f>
        <v>3763</v>
      </c>
      <c r="M12" s="199">
        <f>'Планирование выручки'!M9*'Исходные данные'!$F$40</f>
        <v>4402</v>
      </c>
      <c r="N12" s="3">
        <f>'Планирование выручки'!N9*'Исходные данные'!$F$40</f>
        <v>4757</v>
      </c>
      <c r="O12" s="3">
        <f>'Планирование выручки'!O9*'Исходные данные'!$F$40</f>
        <v>5396</v>
      </c>
      <c r="P12" s="3">
        <f>'Планирование выручки'!P9*'Исходные данные'!$F$40</f>
        <v>6106</v>
      </c>
      <c r="Q12" s="3">
        <f>'Планирование выручки'!Q9*'Исходные данные'!$F$40</f>
        <v>6390</v>
      </c>
      <c r="R12" s="3">
        <f>'Планирование выручки'!R9*'Исходные данные'!$F$40</f>
        <v>6745</v>
      </c>
      <c r="S12" s="3">
        <f>'Планирование выручки'!S9*'Исходные данные'!$F$40</f>
        <v>6816</v>
      </c>
      <c r="T12" s="3">
        <f>'Планирование выручки'!T9*'Исходные данные'!$F$40</f>
        <v>6887</v>
      </c>
      <c r="U12" s="3">
        <f>'Планирование выручки'!U9*'Исходные данные'!$F$40</f>
        <v>7242</v>
      </c>
      <c r="V12" s="3">
        <f>'Планирование выручки'!V9*'Исходные данные'!$F$40</f>
        <v>7526</v>
      </c>
      <c r="W12" s="3">
        <f>'Планирование выручки'!W9*'Исходные данные'!$F$40</f>
        <v>8236</v>
      </c>
      <c r="X12" s="3">
        <f>'Планирование выручки'!X9*'Исходные данные'!$F$40</f>
        <v>8875</v>
      </c>
      <c r="Y12" s="199">
        <f>'Планирование выручки'!Y9*'Исходные данные'!$F$40</f>
        <v>9514</v>
      </c>
      <c r="Z12" s="3">
        <f>'Планирование выручки'!Z9*'Исходные данные'!$F$40</f>
        <v>9869</v>
      </c>
      <c r="AA12" s="3">
        <f>'Планирование выручки'!AA9*'Исходные данные'!$F$40</f>
        <v>10579</v>
      </c>
      <c r="AB12" s="3">
        <f>'Планирование выручки'!AB9*'Исходные данные'!$F$40</f>
        <v>11218</v>
      </c>
      <c r="AC12" s="3">
        <f>'Планирование выручки'!AC9*'Исходные данные'!$F$40</f>
        <v>11573</v>
      </c>
      <c r="AD12" s="3">
        <f>'Планирование выручки'!AD9*'Исходные данные'!$F$40</f>
        <v>11857</v>
      </c>
      <c r="AE12" s="3">
        <f>'Планирование выручки'!AE9*'Исходные данные'!$F$40</f>
        <v>11928</v>
      </c>
      <c r="AF12" s="3">
        <f>'Планирование выручки'!AF9*'Исходные данные'!$F$40</f>
        <v>11999</v>
      </c>
      <c r="AG12" s="3">
        <f>'Планирование выручки'!AG9*'Исходные данные'!$F$40</f>
        <v>12354</v>
      </c>
      <c r="AH12" s="3">
        <f>'Планирование выручки'!AH9*'Исходные данные'!$F$40</f>
        <v>12709</v>
      </c>
      <c r="AI12" s="3">
        <f>'Планирование выручки'!AI9*'Исходные данные'!$F$40</f>
        <v>13348</v>
      </c>
      <c r="AJ12" s="3">
        <f>'Планирование выручки'!AJ9*'Исходные данные'!$F$40</f>
        <v>13987</v>
      </c>
      <c r="AK12" s="199">
        <f>'Планирование выручки'!AK9*'Исходные данные'!$F$40</f>
        <v>14697</v>
      </c>
    </row>
    <row r="13" spans="1:37" x14ac:dyDescent="0.25">
      <c r="A13" s="20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19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99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199"/>
    </row>
    <row r="14" spans="1:37" s="183" customFormat="1" x14ac:dyDescent="0.25">
      <c r="A14" s="54" t="s">
        <v>245</v>
      </c>
      <c r="B14" s="120">
        <f>'Аренда и Рабочие места'!B17</f>
        <v>0</v>
      </c>
      <c r="C14" s="120">
        <f>'Аренда и Рабочие места'!C17</f>
        <v>9000</v>
      </c>
      <c r="D14" s="120">
        <f>'Аренда и Рабочие места'!D17</f>
        <v>9000</v>
      </c>
      <c r="E14" s="120">
        <f>'Аренда и Рабочие места'!E17</f>
        <v>11250</v>
      </c>
      <c r="F14" s="120">
        <f>'Аренда и Рабочие места'!F17</f>
        <v>11250</v>
      </c>
      <c r="G14" s="120">
        <f>'Аренда и Рабочие места'!G17</f>
        <v>11250</v>
      </c>
      <c r="H14" s="120">
        <f>'Аренда и Рабочие места'!H17</f>
        <v>12858</v>
      </c>
      <c r="I14" s="120">
        <f>'Аренда и Рабочие места'!I17</f>
        <v>28125</v>
      </c>
      <c r="J14" s="3">
        <f>'Аренда и Рабочие места'!J17</f>
        <v>28125</v>
      </c>
      <c r="K14" s="120">
        <f>'Аренда и Рабочие места'!K17</f>
        <v>37800</v>
      </c>
      <c r="L14" s="120">
        <f>'Аренда и Рабочие места'!L17</f>
        <v>44308</v>
      </c>
      <c r="M14" s="199">
        <f>'Аренда и Рабочие места'!M17</f>
        <v>54000</v>
      </c>
      <c r="N14" s="120">
        <f>'Аренда и Рабочие места'!N17</f>
        <v>54000</v>
      </c>
      <c r="O14" s="120">
        <f>'Аренда и Рабочие места'!O17</f>
        <v>63530</v>
      </c>
      <c r="P14" s="120">
        <f>'Аренда и Рабочие места'!P17</f>
        <v>68250</v>
      </c>
      <c r="Q14" s="120">
        <f>'Аренда и Рабочие места'!Q17</f>
        <v>68250</v>
      </c>
      <c r="R14" s="120">
        <f>'Аренда и Рабочие места'!R17</f>
        <v>68250</v>
      </c>
      <c r="S14" s="120">
        <f>'Аренда и Рабочие места'!S17</f>
        <v>76264</v>
      </c>
      <c r="T14" s="120">
        <f>'Аренда и Рабочие места'!T17</f>
        <v>81000</v>
      </c>
      <c r="U14" s="120">
        <f>'Аренда и Рабочие места'!U17</f>
        <v>81000</v>
      </c>
      <c r="V14" s="120">
        <f>'Аренда и Рабочие места'!V17</f>
        <v>81000</v>
      </c>
      <c r="W14" s="120">
        <f>'Аренда и Рабочие места'!W17</f>
        <v>90410</v>
      </c>
      <c r="X14" s="120">
        <f>'Аренда и Рабочие места'!X17</f>
        <v>95087</v>
      </c>
      <c r="Y14" s="199">
        <f>'Аренда и Рабочие места'!Y17</f>
        <v>108000</v>
      </c>
      <c r="Z14" s="120">
        <f>'Аренда и Рабочие места'!Z17</f>
        <v>108000</v>
      </c>
      <c r="AA14" s="120">
        <f>'Аренда и Рабочие места'!AA17</f>
        <v>117334</v>
      </c>
      <c r="AB14" s="120">
        <f>'Аренда и Рабочие места'!AB17</f>
        <v>121345</v>
      </c>
      <c r="AC14" s="120">
        <f>'Аренда и Рабочие места'!AC17</f>
        <v>121345</v>
      </c>
      <c r="AD14" s="120">
        <f>'Аренда и Рабочие места'!AD17</f>
        <v>121345</v>
      </c>
      <c r="AE14" s="120">
        <f>'Аренда и Рабочие места'!AE17</f>
        <v>126000</v>
      </c>
      <c r="AF14" s="120">
        <f>'Аренда и Рабочие места'!AF17</f>
        <v>134275</v>
      </c>
      <c r="AG14" s="120">
        <f>'Аренда и Рабочие места'!AG17</f>
        <v>134275</v>
      </c>
      <c r="AH14" s="120">
        <f>'Аренда и Рабочие места'!AH17</f>
        <v>134275</v>
      </c>
      <c r="AI14" s="120">
        <f>'Аренда и Рабочие места'!AI17</f>
        <v>143591</v>
      </c>
      <c r="AJ14" s="120">
        <f>'Аренда и Рабочие места'!AJ17</f>
        <v>148236</v>
      </c>
      <c r="AK14" s="199">
        <f>'Аренда и Рабочие места'!AK17</f>
        <v>157500</v>
      </c>
    </row>
    <row r="15" spans="1:37" s="19" customFormat="1" ht="27" x14ac:dyDescent="0.25">
      <c r="A15" s="204" t="s">
        <v>246</v>
      </c>
      <c r="B15" s="120">
        <f t="shared" ref="B15:AK15" si="1">SUM(B10:B14)</f>
        <v>0</v>
      </c>
      <c r="C15" s="120">
        <f t="shared" si="1"/>
        <v>94068</v>
      </c>
      <c r="D15" s="120">
        <f t="shared" si="1"/>
        <v>94281</v>
      </c>
      <c r="E15" s="120">
        <f t="shared" si="1"/>
        <v>122744</v>
      </c>
      <c r="F15" s="120">
        <f t="shared" si="1"/>
        <v>122957</v>
      </c>
      <c r="G15" s="120">
        <f t="shared" si="1"/>
        <v>123170</v>
      </c>
      <c r="H15" s="120">
        <f t="shared" si="1"/>
        <v>164062</v>
      </c>
      <c r="I15" s="120">
        <f t="shared" si="1"/>
        <v>205684</v>
      </c>
      <c r="J15" s="3">
        <f t="shared" si="1"/>
        <v>206039</v>
      </c>
      <c r="K15" s="120">
        <f t="shared" si="1"/>
        <v>300853</v>
      </c>
      <c r="L15" s="120">
        <f t="shared" si="1"/>
        <v>334071</v>
      </c>
      <c r="M15" s="199">
        <f t="shared" si="1"/>
        <v>409402</v>
      </c>
      <c r="N15" s="120">
        <f t="shared" si="1"/>
        <v>409757</v>
      </c>
      <c r="O15" s="120">
        <f t="shared" si="1"/>
        <v>504426</v>
      </c>
      <c r="P15" s="120">
        <f t="shared" si="1"/>
        <v>535856</v>
      </c>
      <c r="Q15" s="120">
        <f t="shared" si="1"/>
        <v>536140</v>
      </c>
      <c r="R15" s="120">
        <f t="shared" si="1"/>
        <v>536495</v>
      </c>
      <c r="S15" s="120">
        <f t="shared" si="1"/>
        <v>583580</v>
      </c>
      <c r="T15" s="120">
        <f t="shared" si="1"/>
        <v>614387</v>
      </c>
      <c r="U15" s="120">
        <f t="shared" si="1"/>
        <v>614742</v>
      </c>
      <c r="V15" s="120">
        <f t="shared" si="1"/>
        <v>615026</v>
      </c>
      <c r="W15" s="120">
        <f t="shared" si="1"/>
        <v>709646</v>
      </c>
      <c r="X15" s="120">
        <f t="shared" si="1"/>
        <v>740962</v>
      </c>
      <c r="Y15" s="199">
        <f t="shared" si="1"/>
        <v>819514</v>
      </c>
      <c r="Z15" s="120">
        <f t="shared" si="1"/>
        <v>819869</v>
      </c>
      <c r="AA15" s="120">
        <f t="shared" si="1"/>
        <v>914413</v>
      </c>
      <c r="AB15" s="120">
        <f t="shared" si="1"/>
        <v>945063</v>
      </c>
      <c r="AC15" s="120">
        <f t="shared" si="1"/>
        <v>945418</v>
      </c>
      <c r="AD15" s="120">
        <f t="shared" si="1"/>
        <v>945702</v>
      </c>
      <c r="AE15" s="120">
        <f t="shared" si="1"/>
        <v>989428</v>
      </c>
      <c r="AF15" s="120">
        <f t="shared" si="1"/>
        <v>1023774</v>
      </c>
      <c r="AG15" s="120">
        <f t="shared" si="1"/>
        <v>1024129</v>
      </c>
      <c r="AH15" s="120">
        <f t="shared" si="1"/>
        <v>1024484</v>
      </c>
      <c r="AI15" s="120">
        <f t="shared" si="1"/>
        <v>1118939</v>
      </c>
      <c r="AJ15" s="120">
        <f t="shared" si="1"/>
        <v>1150223</v>
      </c>
      <c r="AK15" s="199">
        <f t="shared" si="1"/>
        <v>1225197</v>
      </c>
    </row>
    <row r="16" spans="1:37" s="19" customFormat="1" x14ac:dyDescent="0.25">
      <c r="A16" s="4"/>
      <c r="B16" s="120"/>
      <c r="C16" s="120"/>
      <c r="D16" s="120"/>
      <c r="E16" s="120"/>
      <c r="F16" s="120"/>
      <c r="G16" s="120"/>
      <c r="H16" s="120"/>
      <c r="I16" s="120"/>
      <c r="J16" s="3"/>
      <c r="K16" s="120"/>
      <c r="L16" s="120"/>
      <c r="M16" s="199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99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99"/>
    </row>
    <row r="17" spans="1:37" s="19" customFormat="1" x14ac:dyDescent="0.25">
      <c r="A17" s="166" t="s">
        <v>247</v>
      </c>
      <c r="B17" s="120"/>
      <c r="C17" s="120"/>
      <c r="D17" s="120"/>
      <c r="E17" s="120"/>
      <c r="F17" s="120"/>
      <c r="G17" s="120"/>
      <c r="H17" s="120"/>
      <c r="I17" s="120"/>
      <c r="J17" s="3"/>
      <c r="K17" s="120"/>
      <c r="L17" s="120"/>
      <c r="M17" s="199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99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99"/>
    </row>
    <row r="18" spans="1:37" ht="27" outlineLevel="1" x14ac:dyDescent="0.25">
      <c r="A18" s="58" t="s">
        <v>248</v>
      </c>
      <c r="B18" s="120">
        <f>'Планирование персонала'!B52</f>
        <v>70000</v>
      </c>
      <c r="C18" s="120">
        <f>'Планирование персонала'!C52</f>
        <v>105640</v>
      </c>
      <c r="D18" s="120">
        <f>'Планирование персонала'!D52</f>
        <v>81880</v>
      </c>
      <c r="E18" s="120">
        <f>'Планирование персонала'!E52</f>
        <v>81880</v>
      </c>
      <c r="F18" s="120">
        <f>'Планирование персонала'!F52</f>
        <v>81880</v>
      </c>
      <c r="G18" s="120">
        <f>'Планирование персонала'!G52</f>
        <v>96880</v>
      </c>
      <c r="H18" s="120">
        <f>'Планирование персонала'!H52</f>
        <v>104800</v>
      </c>
      <c r="I18" s="120">
        <f>'Планирование персонала'!I52</f>
        <v>104800</v>
      </c>
      <c r="J18" s="3">
        <f>'Планирование персонала'!J52</f>
        <v>104800</v>
      </c>
      <c r="K18" s="120">
        <f>'Планирование персонала'!K52</f>
        <v>139600</v>
      </c>
      <c r="L18" s="120">
        <f>'Планирование персонала'!L52</f>
        <v>214600</v>
      </c>
      <c r="M18" s="199">
        <f>'Планирование персонала'!M52</f>
        <v>214600</v>
      </c>
      <c r="N18" s="120">
        <f>'Планирование персонала'!N52</f>
        <v>194800</v>
      </c>
      <c r="O18" s="120">
        <f>'Планирование персонала'!O52</f>
        <v>214600</v>
      </c>
      <c r="P18" s="120">
        <f>'Планирование персонала'!P52</f>
        <v>214600</v>
      </c>
      <c r="Q18" s="120">
        <f>'Планирование персонала'!Q52</f>
        <v>194800</v>
      </c>
      <c r="R18" s="120">
        <f>'Планирование персонала'!R52</f>
        <v>194800</v>
      </c>
      <c r="S18" s="120">
        <f>'Планирование персонала'!S52</f>
        <v>178960</v>
      </c>
      <c r="T18" s="120">
        <f>'Планирование персонала'!T52</f>
        <v>178960</v>
      </c>
      <c r="U18" s="120">
        <f>'Планирование персонала'!U52</f>
        <v>209800</v>
      </c>
      <c r="V18" s="120">
        <f>'Планирование персонала'!V52</f>
        <v>209800</v>
      </c>
      <c r="W18" s="120">
        <f>'Планирование персонала'!W52</f>
        <v>229600</v>
      </c>
      <c r="X18" s="120">
        <f>'Планирование персонала'!X52</f>
        <v>229600</v>
      </c>
      <c r="Y18" s="199">
        <f>'Планирование персонала'!Y52</f>
        <v>229600</v>
      </c>
      <c r="Z18" s="120">
        <f>'Планирование персонала'!Z52</f>
        <v>209800</v>
      </c>
      <c r="AA18" s="120">
        <f>'Планирование персонала'!AA52</f>
        <v>229600</v>
      </c>
      <c r="AB18" s="120">
        <f>'Планирование персонала'!AB52</f>
        <v>259600</v>
      </c>
      <c r="AC18" s="120">
        <f>'Планирование персонала'!AC52</f>
        <v>239800</v>
      </c>
      <c r="AD18" s="120">
        <f>'Планирование персонала'!AD52</f>
        <v>239800</v>
      </c>
      <c r="AE18" s="120">
        <f>'Планирование персонала'!AE52</f>
        <v>223960</v>
      </c>
      <c r="AF18" s="120">
        <f>'Планирование персонала'!AF52</f>
        <v>223960</v>
      </c>
      <c r="AG18" s="120">
        <f>'Планирование персонала'!AG52</f>
        <v>239800</v>
      </c>
      <c r="AH18" s="120">
        <f>'Планирование персонала'!AH52</f>
        <v>239800</v>
      </c>
      <c r="AI18" s="120">
        <f>'Планирование персонала'!AI52</f>
        <v>259600</v>
      </c>
      <c r="AJ18" s="120">
        <f>'Планирование персонала'!AJ52</f>
        <v>259600</v>
      </c>
      <c r="AK18" s="199">
        <f>'Планирование персонала'!AK52</f>
        <v>274600</v>
      </c>
    </row>
    <row r="19" spans="1:37" s="209" customFormat="1" outlineLevel="1" x14ac:dyDescent="0.25">
      <c r="A19" s="205" t="s">
        <v>249</v>
      </c>
      <c r="B19" s="206">
        <f>B18*0.3</f>
        <v>21000</v>
      </c>
      <c r="C19" s="206">
        <f t="shared" ref="C19:AK19" si="2">C18*0.3</f>
        <v>31692</v>
      </c>
      <c r="D19" s="206">
        <f t="shared" si="2"/>
        <v>24564</v>
      </c>
      <c r="E19" s="206">
        <f t="shared" si="2"/>
        <v>24564</v>
      </c>
      <c r="F19" s="206">
        <f t="shared" si="2"/>
        <v>24564</v>
      </c>
      <c r="G19" s="206">
        <f t="shared" si="2"/>
        <v>29064</v>
      </c>
      <c r="H19" s="206">
        <f t="shared" si="2"/>
        <v>31440</v>
      </c>
      <c r="I19" s="206">
        <f t="shared" si="2"/>
        <v>31440</v>
      </c>
      <c r="J19" s="207">
        <f t="shared" si="2"/>
        <v>31440</v>
      </c>
      <c r="K19" s="206">
        <f t="shared" si="2"/>
        <v>41880</v>
      </c>
      <c r="L19" s="206">
        <f t="shared" si="2"/>
        <v>64380</v>
      </c>
      <c r="M19" s="208">
        <f t="shared" si="2"/>
        <v>64380</v>
      </c>
      <c r="N19" s="206">
        <f t="shared" si="2"/>
        <v>58440</v>
      </c>
      <c r="O19" s="206">
        <f t="shared" si="2"/>
        <v>64380</v>
      </c>
      <c r="P19" s="206">
        <f t="shared" si="2"/>
        <v>64380</v>
      </c>
      <c r="Q19" s="206">
        <f t="shared" si="2"/>
        <v>58440</v>
      </c>
      <c r="R19" s="206">
        <f t="shared" si="2"/>
        <v>58440</v>
      </c>
      <c r="S19" s="206">
        <f t="shared" si="2"/>
        <v>53688</v>
      </c>
      <c r="T19" s="206">
        <f t="shared" si="2"/>
        <v>53688</v>
      </c>
      <c r="U19" s="206">
        <f t="shared" si="2"/>
        <v>62940</v>
      </c>
      <c r="V19" s="206">
        <f t="shared" si="2"/>
        <v>62940</v>
      </c>
      <c r="W19" s="206">
        <f t="shared" si="2"/>
        <v>68880</v>
      </c>
      <c r="X19" s="206">
        <f t="shared" si="2"/>
        <v>68880</v>
      </c>
      <c r="Y19" s="208">
        <f t="shared" si="2"/>
        <v>68880</v>
      </c>
      <c r="Z19" s="206">
        <f t="shared" si="2"/>
        <v>62940</v>
      </c>
      <c r="AA19" s="206">
        <f t="shared" si="2"/>
        <v>68880</v>
      </c>
      <c r="AB19" s="206">
        <f t="shared" si="2"/>
        <v>77880</v>
      </c>
      <c r="AC19" s="206">
        <f t="shared" si="2"/>
        <v>71940</v>
      </c>
      <c r="AD19" s="206">
        <f t="shared" si="2"/>
        <v>71940</v>
      </c>
      <c r="AE19" s="206">
        <f t="shared" si="2"/>
        <v>67188</v>
      </c>
      <c r="AF19" s="206">
        <f t="shared" si="2"/>
        <v>67188</v>
      </c>
      <c r="AG19" s="206">
        <f t="shared" si="2"/>
        <v>71940</v>
      </c>
      <c r="AH19" s="206">
        <f t="shared" si="2"/>
        <v>71940</v>
      </c>
      <c r="AI19" s="206">
        <f t="shared" si="2"/>
        <v>77880</v>
      </c>
      <c r="AJ19" s="206">
        <f t="shared" si="2"/>
        <v>77880</v>
      </c>
      <c r="AK19" s="208">
        <f t="shared" si="2"/>
        <v>82380</v>
      </c>
    </row>
    <row r="20" spans="1:37" x14ac:dyDescent="0.25">
      <c r="A20" s="132" t="s">
        <v>250</v>
      </c>
      <c r="B20" s="120"/>
      <c r="C20" s="120"/>
      <c r="D20" s="120"/>
      <c r="E20" s="120"/>
      <c r="F20" s="120"/>
      <c r="G20" s="120"/>
      <c r="H20" s="120"/>
      <c r="I20" s="120"/>
      <c r="J20" s="3"/>
      <c r="K20" s="120"/>
      <c r="L20" s="120"/>
      <c r="M20" s="199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99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99"/>
    </row>
    <row r="21" spans="1:37" x14ac:dyDescent="0.25">
      <c r="A21" s="54" t="s">
        <v>251</v>
      </c>
      <c r="B21" s="210">
        <v>2000</v>
      </c>
      <c r="C21" s="210"/>
      <c r="D21" s="210"/>
      <c r="E21" s="210">
        <v>500</v>
      </c>
      <c r="F21" s="210"/>
      <c r="G21" s="210"/>
      <c r="H21" s="210">
        <v>500</v>
      </c>
      <c r="I21" s="210"/>
      <c r="J21" s="210"/>
      <c r="K21" s="210">
        <v>500</v>
      </c>
      <c r="L21" s="210"/>
      <c r="M21" s="210"/>
      <c r="N21" s="210">
        <v>500</v>
      </c>
      <c r="O21" s="210"/>
      <c r="P21" s="210"/>
      <c r="Q21" s="210">
        <v>500</v>
      </c>
      <c r="R21" s="210"/>
      <c r="S21" s="210"/>
      <c r="T21" s="210">
        <v>500</v>
      </c>
      <c r="U21" s="210"/>
      <c r="V21" s="210"/>
      <c r="W21" s="210">
        <v>500</v>
      </c>
      <c r="X21" s="210"/>
      <c r="Y21" s="210"/>
      <c r="Z21" s="210">
        <v>500</v>
      </c>
      <c r="AA21" s="210"/>
      <c r="AB21" s="210"/>
      <c r="AC21" s="210">
        <v>500</v>
      </c>
      <c r="AD21" s="210"/>
      <c r="AE21" s="210"/>
      <c r="AF21" s="210">
        <v>500</v>
      </c>
      <c r="AG21" s="210"/>
      <c r="AH21" s="210"/>
      <c r="AI21" s="210">
        <v>500</v>
      </c>
      <c r="AJ21" s="210"/>
      <c r="AK21" s="210"/>
    </row>
    <row r="22" spans="1:37" ht="40.5" x14ac:dyDescent="0.25">
      <c r="A22" s="54" t="s">
        <v>252</v>
      </c>
      <c r="B22" s="210">
        <v>3000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>
        <v>3000</v>
      </c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>
        <v>3000</v>
      </c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</row>
    <row r="23" spans="1:37" ht="40.5" x14ac:dyDescent="0.25">
      <c r="A23" s="54" t="s">
        <v>253</v>
      </c>
      <c r="B23" s="210"/>
      <c r="C23" s="210">
        <v>3000</v>
      </c>
      <c r="D23" s="210"/>
      <c r="E23" s="210">
        <v>4000</v>
      </c>
      <c r="F23" s="210"/>
      <c r="G23" s="210">
        <v>3000</v>
      </c>
      <c r="H23" s="210"/>
      <c r="I23" s="210">
        <v>2000</v>
      </c>
      <c r="J23" s="210"/>
      <c r="K23" s="210"/>
      <c r="L23" s="210">
        <v>4000</v>
      </c>
      <c r="M23" s="210"/>
      <c r="N23" s="210"/>
      <c r="O23" s="210">
        <v>4000</v>
      </c>
      <c r="P23" s="210"/>
      <c r="Q23" s="210"/>
      <c r="R23" s="210">
        <v>2000</v>
      </c>
      <c r="S23" s="210">
        <v>1000</v>
      </c>
      <c r="T23" s="210"/>
      <c r="U23" s="210">
        <v>3000</v>
      </c>
      <c r="V23" s="210"/>
      <c r="W23" s="210"/>
      <c r="X23" s="210">
        <v>10000</v>
      </c>
      <c r="Y23" s="210"/>
      <c r="Z23" s="210">
        <v>3000</v>
      </c>
      <c r="AA23" s="210"/>
      <c r="AB23" s="210">
        <v>3000</v>
      </c>
      <c r="AC23" s="210"/>
      <c r="AD23" s="210"/>
      <c r="AE23" s="210">
        <v>3000</v>
      </c>
      <c r="AF23" s="210"/>
      <c r="AG23" s="210">
        <v>3000</v>
      </c>
      <c r="AH23" s="210"/>
      <c r="AI23" s="210">
        <v>4000</v>
      </c>
      <c r="AJ23" s="210"/>
      <c r="AK23" s="210">
        <v>10000</v>
      </c>
    </row>
    <row r="24" spans="1:37" ht="15.75" customHeight="1" x14ac:dyDescent="0.25">
      <c r="A24" s="40" t="s">
        <v>254</v>
      </c>
      <c r="B24" s="120">
        <f>SUM(B21:B23)</f>
        <v>5000</v>
      </c>
      <c r="C24" s="120">
        <f t="shared" ref="C24:AK24" si="3">SUM(C21:C23)</f>
        <v>3000</v>
      </c>
      <c r="D24" s="120">
        <f t="shared" si="3"/>
        <v>0</v>
      </c>
      <c r="E24" s="120">
        <f t="shared" si="3"/>
        <v>4500</v>
      </c>
      <c r="F24" s="120">
        <f t="shared" si="3"/>
        <v>0</v>
      </c>
      <c r="G24" s="120">
        <f t="shared" si="3"/>
        <v>3000</v>
      </c>
      <c r="H24" s="120">
        <f t="shared" si="3"/>
        <v>500</v>
      </c>
      <c r="I24" s="120">
        <f t="shared" si="3"/>
        <v>2000</v>
      </c>
      <c r="J24" s="3">
        <f t="shared" si="3"/>
        <v>0</v>
      </c>
      <c r="K24" s="120">
        <f t="shared" si="3"/>
        <v>500</v>
      </c>
      <c r="L24" s="120">
        <f t="shared" si="3"/>
        <v>4000</v>
      </c>
      <c r="M24" s="199">
        <f t="shared" si="3"/>
        <v>0</v>
      </c>
      <c r="N24" s="120">
        <f t="shared" si="3"/>
        <v>3500</v>
      </c>
      <c r="O24" s="120">
        <f t="shared" si="3"/>
        <v>4000</v>
      </c>
      <c r="P24" s="120">
        <f t="shared" si="3"/>
        <v>0</v>
      </c>
      <c r="Q24" s="120">
        <f t="shared" si="3"/>
        <v>500</v>
      </c>
      <c r="R24" s="120">
        <f t="shared" si="3"/>
        <v>2000</v>
      </c>
      <c r="S24" s="120">
        <f t="shared" si="3"/>
        <v>1000</v>
      </c>
      <c r="T24" s="120">
        <f t="shared" si="3"/>
        <v>500</v>
      </c>
      <c r="U24" s="120">
        <f t="shared" si="3"/>
        <v>3000</v>
      </c>
      <c r="V24" s="120">
        <f t="shared" si="3"/>
        <v>0</v>
      </c>
      <c r="W24" s="120">
        <f t="shared" si="3"/>
        <v>500</v>
      </c>
      <c r="X24" s="120">
        <f t="shared" si="3"/>
        <v>10000</v>
      </c>
      <c r="Y24" s="199">
        <f t="shared" si="3"/>
        <v>0</v>
      </c>
      <c r="Z24" s="120">
        <f t="shared" si="3"/>
        <v>6500</v>
      </c>
      <c r="AA24" s="120">
        <f t="shared" si="3"/>
        <v>0</v>
      </c>
      <c r="AB24" s="120">
        <f t="shared" si="3"/>
        <v>3000</v>
      </c>
      <c r="AC24" s="120">
        <f t="shared" si="3"/>
        <v>500</v>
      </c>
      <c r="AD24" s="120">
        <f t="shared" si="3"/>
        <v>0</v>
      </c>
      <c r="AE24" s="120">
        <f t="shared" si="3"/>
        <v>3000</v>
      </c>
      <c r="AF24" s="120">
        <f t="shared" si="3"/>
        <v>500</v>
      </c>
      <c r="AG24" s="120">
        <f t="shared" si="3"/>
        <v>3000</v>
      </c>
      <c r="AH24" s="120">
        <f t="shared" si="3"/>
        <v>0</v>
      </c>
      <c r="AI24" s="120">
        <f t="shared" si="3"/>
        <v>4500</v>
      </c>
      <c r="AJ24" s="120">
        <f t="shared" si="3"/>
        <v>0</v>
      </c>
      <c r="AK24" s="199">
        <f t="shared" si="3"/>
        <v>10000</v>
      </c>
    </row>
    <row r="25" spans="1:37" ht="3" customHeight="1" x14ac:dyDescent="0.25">
      <c r="A25" s="54"/>
      <c r="B25" s="120"/>
      <c r="C25" s="120"/>
      <c r="D25" s="120"/>
      <c r="E25" s="120"/>
      <c r="F25" s="120"/>
      <c r="G25" s="120"/>
      <c r="H25" s="120"/>
      <c r="I25" s="120"/>
      <c r="J25" s="3"/>
      <c r="K25" s="120"/>
      <c r="L25" s="120"/>
      <c r="M25" s="199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99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99"/>
    </row>
    <row r="26" spans="1:37" x14ac:dyDescent="0.25">
      <c r="A26" s="54" t="s">
        <v>255</v>
      </c>
      <c r="B26" s="120">
        <f>'Аренда и Рабочие места'!B12-'Аренда и Рабочие места'!B17</f>
        <v>22500</v>
      </c>
      <c r="C26" s="120">
        <f>'Аренда и Рабочие места'!C12-'Аренда и Рабочие места'!C17</f>
        <v>13500</v>
      </c>
      <c r="D26" s="120">
        <f>'Аренда и Рабочие места'!D12-'Аренда и Рабочие места'!D17</f>
        <v>13500</v>
      </c>
      <c r="E26" s="120">
        <f>'Аренда и Рабочие места'!E12-'Аренда и Рабочие места'!E17</f>
        <v>11250</v>
      </c>
      <c r="F26" s="120">
        <f>'Аренда и Рабочие места'!F12-'Аренда и Рабочие места'!F17</f>
        <v>11250</v>
      </c>
      <c r="G26" s="120">
        <f>'Аренда и Рабочие места'!G12-'Аренда и Рабочие места'!G17</f>
        <v>11250</v>
      </c>
      <c r="H26" s="120">
        <f>'Аренда и Рабочие места'!H12-'Аренда и Рабочие места'!H17</f>
        <v>9642</v>
      </c>
      <c r="I26" s="120">
        <f>'Аренда и Рабочие места'!I12-'Аренда и Рабочие места'!I17</f>
        <v>16875</v>
      </c>
      <c r="J26" s="3">
        <f>'Аренда и Рабочие места'!J12-'Аренда и Рабочие места'!J17</f>
        <v>16875</v>
      </c>
      <c r="K26" s="120">
        <f>'Аренда и Рабочие места'!K12-'Аренда и Рабочие места'!K17</f>
        <v>16200</v>
      </c>
      <c r="L26" s="120">
        <f>'Аренда и Рабочие места'!L12-'Аренда и Рабочие места'!L17</f>
        <v>27692</v>
      </c>
      <c r="M26" s="199">
        <f>'Аренда и Рабочие места'!M12-'Аренда и Рабочие места'!M17</f>
        <v>27000</v>
      </c>
      <c r="N26" s="120">
        <f>'Аренда и Рабочие места'!N12-'Аренда и Рабочие места'!N17</f>
        <v>27000</v>
      </c>
      <c r="O26" s="120">
        <f>'Аренда и Рабочие места'!O12-'Аренда и Рабочие места'!O17</f>
        <v>26470</v>
      </c>
      <c r="P26" s="120">
        <f>'Аренда и Рабочие места'!P12-'Аренда и Рабочие места'!P17</f>
        <v>26250</v>
      </c>
      <c r="Q26" s="120">
        <f>'Аренда и Рабочие места'!Q12-'Аренда и Рабочие места'!Q17</f>
        <v>26250</v>
      </c>
      <c r="R26" s="120">
        <f>'Аренда и Рабочие места'!R12-'Аренда и Рабочие места'!R17</f>
        <v>26250</v>
      </c>
      <c r="S26" s="120">
        <f>'Аренда и Рабочие места'!S12-'Аренда и Рабочие места'!S17</f>
        <v>27236</v>
      </c>
      <c r="T26" s="120">
        <f>'Аренда и Рабочие места'!T12-'Аренда и Рабочие места'!T17</f>
        <v>27000</v>
      </c>
      <c r="U26" s="120">
        <f>'Аренда и Рабочие места'!U12-'Аренда и Рабочие места'!U17</f>
        <v>27000</v>
      </c>
      <c r="V26" s="120">
        <f>'Аренда и Рабочие места'!V12-'Аренда и Рабочие места'!V17</f>
        <v>27000</v>
      </c>
      <c r="W26" s="120">
        <f>'Аренда и Рабочие места'!W12-'Аренда и Рабочие места'!W17</f>
        <v>26590</v>
      </c>
      <c r="X26" s="120">
        <f>'Аренда и Рабочие места'!X12-'Аренда и Рабочие места'!X17</f>
        <v>26413</v>
      </c>
      <c r="Y26" s="199">
        <f>'Аренда и Рабочие места'!Y12-'Аренда и Рабочие места'!Y17</f>
        <v>27000</v>
      </c>
      <c r="Z26" s="120">
        <f>'Аренда и Рабочие места'!Z12-'Аренда и Рабочие места'!Z17</f>
        <v>27000</v>
      </c>
      <c r="AA26" s="120">
        <f>'Аренда и Рабочие места'!AA12-'Аренда и Рабочие места'!AA17</f>
        <v>26666</v>
      </c>
      <c r="AB26" s="120">
        <f>'Аренда и Рабочие места'!AB12-'Аренда и Рабочие места'!AB17</f>
        <v>31655</v>
      </c>
      <c r="AC26" s="120">
        <f>'Аренда и Рабочие места'!AC12-'Аренда и Рабочие места'!AC17</f>
        <v>31655</v>
      </c>
      <c r="AD26" s="120">
        <f>'Аренда и Рабочие места'!AD12-'Аренда и Рабочие места'!AD17</f>
        <v>31655</v>
      </c>
      <c r="AE26" s="120">
        <f>'Аренда и Рабочие места'!AE12-'Аренда и Рабочие места'!AE17</f>
        <v>31500</v>
      </c>
      <c r="AF26" s="120">
        <f>'Аренда и Рабочие места'!AF12-'Аренда и Рабочие места'!AF17</f>
        <v>32225</v>
      </c>
      <c r="AG26" s="120">
        <f>'Аренда и Рабочие места'!AG12-'Аренда и Рабочие места'!AG17</f>
        <v>32225</v>
      </c>
      <c r="AH26" s="120">
        <f>'Аренда и Рабочие места'!AH12-'Аренда и Рабочие места'!AH17</f>
        <v>32225</v>
      </c>
      <c r="AI26" s="120">
        <f>'Аренда и Рабочие места'!AI12-'Аренда и Рабочие места'!AI17</f>
        <v>31909</v>
      </c>
      <c r="AJ26" s="120">
        <f>'Аренда и Рабочие места'!AJ12-'Аренда и Рабочие места'!AJ17</f>
        <v>31764</v>
      </c>
      <c r="AK26" s="199">
        <f>'Аренда и Рабочие места'!AK12-'Аренда и Рабочие места'!AK17</f>
        <v>31500</v>
      </c>
    </row>
    <row r="27" spans="1:37" x14ac:dyDescent="0.25">
      <c r="A27" s="54" t="s">
        <v>55</v>
      </c>
      <c r="B27" s="120">
        <f>'Исходные данные'!$F$32</f>
        <v>2000</v>
      </c>
      <c r="C27" s="120">
        <f>'Исходные данные'!$F$32</f>
        <v>2000</v>
      </c>
      <c r="D27" s="120">
        <f>'Исходные данные'!$F$32</f>
        <v>2000</v>
      </c>
      <c r="E27" s="120">
        <f>'Исходные данные'!$F$32</f>
        <v>2000</v>
      </c>
      <c r="F27" s="120">
        <f>'Исходные данные'!$F$32</f>
        <v>2000</v>
      </c>
      <c r="G27" s="120">
        <f>'Исходные данные'!$F$32</f>
        <v>2000</v>
      </c>
      <c r="H27" s="120">
        <f>'Исходные данные'!$F$32</f>
        <v>2000</v>
      </c>
      <c r="I27" s="120">
        <f>'Исходные данные'!$F$32</f>
        <v>2000</v>
      </c>
      <c r="J27" s="3">
        <f>'Исходные данные'!$F$32</f>
        <v>2000</v>
      </c>
      <c r="K27" s="120">
        <f>'Исходные данные'!$F$32</f>
        <v>2000</v>
      </c>
      <c r="L27" s="120">
        <f>'Исходные данные'!$F$32</f>
        <v>2000</v>
      </c>
      <c r="M27" s="199">
        <f>'Исходные данные'!$F$32</f>
        <v>2000</v>
      </c>
      <c r="N27" s="120">
        <f>'Исходные данные'!$F$32</f>
        <v>2000</v>
      </c>
      <c r="O27" s="120">
        <f>'Исходные данные'!$F$32</f>
        <v>2000</v>
      </c>
      <c r="P27" s="120">
        <f>'Исходные данные'!$F$32</f>
        <v>2000</v>
      </c>
      <c r="Q27" s="120">
        <f>'Исходные данные'!$F$32</f>
        <v>2000</v>
      </c>
      <c r="R27" s="120">
        <f>'Исходные данные'!$F$32</f>
        <v>2000</v>
      </c>
      <c r="S27" s="120">
        <f>'Исходные данные'!$F$32</f>
        <v>2000</v>
      </c>
      <c r="T27" s="120">
        <f>'Исходные данные'!$F$32</f>
        <v>2000</v>
      </c>
      <c r="U27" s="120">
        <f>'Исходные данные'!$F$32</f>
        <v>2000</v>
      </c>
      <c r="V27" s="120">
        <f>'Исходные данные'!$F$32</f>
        <v>2000</v>
      </c>
      <c r="W27" s="120">
        <f>'Исходные данные'!$F$32</f>
        <v>2000</v>
      </c>
      <c r="X27" s="120">
        <f>'Исходные данные'!$F$32</f>
        <v>2000</v>
      </c>
      <c r="Y27" s="199">
        <f>'Исходные данные'!$F$32</f>
        <v>2000</v>
      </c>
      <c r="Z27" s="120">
        <f>'Исходные данные'!$F$32</f>
        <v>2000</v>
      </c>
      <c r="AA27" s="120">
        <f>'Исходные данные'!$F$32</f>
        <v>2000</v>
      </c>
      <c r="AB27" s="120">
        <f>'Исходные данные'!$F$32</f>
        <v>2000</v>
      </c>
      <c r="AC27" s="120">
        <f>'Исходные данные'!$F$32</f>
        <v>2000</v>
      </c>
      <c r="AD27" s="120">
        <f>'Исходные данные'!$F$32</f>
        <v>2000</v>
      </c>
      <c r="AE27" s="120">
        <f>'Исходные данные'!$F$32</f>
        <v>2000</v>
      </c>
      <c r="AF27" s="120">
        <f>'Исходные данные'!$F$32</f>
        <v>2000</v>
      </c>
      <c r="AG27" s="120">
        <f>'Исходные данные'!$F$32</f>
        <v>2000</v>
      </c>
      <c r="AH27" s="120">
        <f>'Исходные данные'!$F$32</f>
        <v>2000</v>
      </c>
      <c r="AI27" s="120">
        <f>'Исходные данные'!$F$32</f>
        <v>2000</v>
      </c>
      <c r="AJ27" s="120">
        <f>'Исходные данные'!$F$32</f>
        <v>2000</v>
      </c>
      <c r="AK27" s="199">
        <f>'Исходные данные'!$F$32</f>
        <v>2000</v>
      </c>
    </row>
    <row r="28" spans="1:37" x14ac:dyDescent="0.25">
      <c r="A28" s="54" t="s">
        <v>256</v>
      </c>
      <c r="B28" s="120">
        <f>'Исходные данные'!$F$33</f>
        <v>1000</v>
      </c>
      <c r="C28" s="120">
        <f>'Исходные данные'!$F$33</f>
        <v>1000</v>
      </c>
      <c r="D28" s="120">
        <f>'Исходные данные'!$F$33</f>
        <v>1000</v>
      </c>
      <c r="E28" s="120">
        <f>'Исходные данные'!$F$33</f>
        <v>1000</v>
      </c>
      <c r="F28" s="120">
        <f>'Исходные данные'!$F$33</f>
        <v>1000</v>
      </c>
      <c r="G28" s="120">
        <f>'Исходные данные'!$F$33</f>
        <v>1000</v>
      </c>
      <c r="H28" s="120">
        <f>'Исходные данные'!$F$33</f>
        <v>1000</v>
      </c>
      <c r="I28" s="120">
        <f>'Исходные данные'!$F$33</f>
        <v>1000</v>
      </c>
      <c r="J28" s="3">
        <f>'Исходные данные'!$F$33</f>
        <v>1000</v>
      </c>
      <c r="K28" s="120">
        <f>'Исходные данные'!$F$33</f>
        <v>1000</v>
      </c>
      <c r="L28" s="120">
        <f>'Исходные данные'!$F$33</f>
        <v>1000</v>
      </c>
      <c r="M28" s="199">
        <f>'Исходные данные'!$F$33</f>
        <v>1000</v>
      </c>
      <c r="N28" s="120">
        <f>'Исходные данные'!$F$33</f>
        <v>1000</v>
      </c>
      <c r="O28" s="120">
        <f>'Исходные данные'!$F$33</f>
        <v>1000</v>
      </c>
      <c r="P28" s="120">
        <f>'Исходные данные'!$F$33</f>
        <v>1000</v>
      </c>
      <c r="Q28" s="120">
        <f>'Исходные данные'!$F$33</f>
        <v>1000</v>
      </c>
      <c r="R28" s="120">
        <f>'Исходные данные'!$F$33</f>
        <v>1000</v>
      </c>
      <c r="S28" s="120">
        <f>'Исходные данные'!$F$33</f>
        <v>1000</v>
      </c>
      <c r="T28" s="120">
        <f>'Исходные данные'!$F$33</f>
        <v>1000</v>
      </c>
      <c r="U28" s="120">
        <f>'Исходные данные'!$F$33</f>
        <v>1000</v>
      </c>
      <c r="V28" s="120">
        <f>'Исходные данные'!$F$33</f>
        <v>1000</v>
      </c>
      <c r="W28" s="120">
        <f>'Исходные данные'!$F$33</f>
        <v>1000</v>
      </c>
      <c r="X28" s="120">
        <f>'Исходные данные'!$F$33</f>
        <v>1000</v>
      </c>
      <c r="Y28" s="199">
        <f>'Исходные данные'!$F$33</f>
        <v>1000</v>
      </c>
      <c r="Z28" s="120">
        <f>'Исходные данные'!$F$33</f>
        <v>1000</v>
      </c>
      <c r="AA28" s="120">
        <f>'Исходные данные'!$F$33</f>
        <v>1000</v>
      </c>
      <c r="AB28" s="120">
        <f>'Исходные данные'!$F$33</f>
        <v>1000</v>
      </c>
      <c r="AC28" s="120">
        <f>'Исходные данные'!$F$33</f>
        <v>1000</v>
      </c>
      <c r="AD28" s="120">
        <f>'Исходные данные'!$F$33</f>
        <v>1000</v>
      </c>
      <c r="AE28" s="120">
        <f>'Исходные данные'!$F$33</f>
        <v>1000</v>
      </c>
      <c r="AF28" s="120">
        <f>'Исходные данные'!$F$33</f>
        <v>1000</v>
      </c>
      <c r="AG28" s="120">
        <f>'Исходные данные'!$F$33</f>
        <v>1000</v>
      </c>
      <c r="AH28" s="120">
        <f>'Исходные данные'!$F$33</f>
        <v>1000</v>
      </c>
      <c r="AI28" s="120">
        <f>'Исходные данные'!$F$33</f>
        <v>1000</v>
      </c>
      <c r="AJ28" s="120">
        <f>'Исходные данные'!$F$33</f>
        <v>1000</v>
      </c>
      <c r="AK28" s="199">
        <f>'Исходные данные'!$F$33</f>
        <v>1000</v>
      </c>
    </row>
    <row r="29" spans="1:37" x14ac:dyDescent="0.25">
      <c r="A29" s="211" t="s">
        <v>257</v>
      </c>
      <c r="B29" s="120">
        <f t="shared" ref="B29:AK29" si="4">B18+B19+B24+B26+B27+B28</f>
        <v>121500</v>
      </c>
      <c r="C29" s="120">
        <f t="shared" si="4"/>
        <v>156832</v>
      </c>
      <c r="D29" s="120">
        <f t="shared" si="4"/>
        <v>122944</v>
      </c>
      <c r="E29" s="120">
        <f t="shared" si="4"/>
        <v>125194</v>
      </c>
      <c r="F29" s="120">
        <f t="shared" si="4"/>
        <v>120694</v>
      </c>
      <c r="G29" s="120">
        <f t="shared" si="4"/>
        <v>143194</v>
      </c>
      <c r="H29" s="120">
        <f t="shared" si="4"/>
        <v>149382</v>
      </c>
      <c r="I29" s="120">
        <f t="shared" si="4"/>
        <v>158115</v>
      </c>
      <c r="J29" s="120">
        <f t="shared" si="4"/>
        <v>156115</v>
      </c>
      <c r="K29" s="120">
        <f t="shared" si="4"/>
        <v>201180</v>
      </c>
      <c r="L29" s="120">
        <f t="shared" si="4"/>
        <v>313672</v>
      </c>
      <c r="M29" s="199">
        <f t="shared" si="4"/>
        <v>308980</v>
      </c>
      <c r="N29" s="120">
        <f t="shared" si="4"/>
        <v>286740</v>
      </c>
      <c r="O29" s="120">
        <f t="shared" si="4"/>
        <v>312450</v>
      </c>
      <c r="P29" s="120">
        <f t="shared" si="4"/>
        <v>308230</v>
      </c>
      <c r="Q29" s="120">
        <f t="shared" si="4"/>
        <v>282990</v>
      </c>
      <c r="R29" s="120">
        <f t="shared" si="4"/>
        <v>284490</v>
      </c>
      <c r="S29" s="120">
        <f t="shared" si="4"/>
        <v>263884</v>
      </c>
      <c r="T29" s="120">
        <f t="shared" si="4"/>
        <v>263148</v>
      </c>
      <c r="U29" s="120">
        <f t="shared" si="4"/>
        <v>305740</v>
      </c>
      <c r="V29" s="120">
        <f t="shared" si="4"/>
        <v>302740</v>
      </c>
      <c r="W29" s="120">
        <f t="shared" si="4"/>
        <v>328570</v>
      </c>
      <c r="X29" s="120">
        <f t="shared" si="4"/>
        <v>337893</v>
      </c>
      <c r="Y29" s="199">
        <f t="shared" si="4"/>
        <v>328480</v>
      </c>
      <c r="Z29" s="120">
        <f t="shared" si="4"/>
        <v>309240</v>
      </c>
      <c r="AA29" s="120">
        <f t="shared" si="4"/>
        <v>328146</v>
      </c>
      <c r="AB29" s="120">
        <f t="shared" si="4"/>
        <v>375135</v>
      </c>
      <c r="AC29" s="120">
        <f t="shared" si="4"/>
        <v>346895</v>
      </c>
      <c r="AD29" s="120">
        <f t="shared" si="4"/>
        <v>346395</v>
      </c>
      <c r="AE29" s="120">
        <f t="shared" si="4"/>
        <v>328648</v>
      </c>
      <c r="AF29" s="120">
        <f t="shared" si="4"/>
        <v>326873</v>
      </c>
      <c r="AG29" s="120">
        <f t="shared" si="4"/>
        <v>349965</v>
      </c>
      <c r="AH29" s="120">
        <f t="shared" si="4"/>
        <v>346965</v>
      </c>
      <c r="AI29" s="120">
        <f t="shared" si="4"/>
        <v>376889</v>
      </c>
      <c r="AJ29" s="120">
        <f t="shared" si="4"/>
        <v>372244</v>
      </c>
      <c r="AK29" s="199">
        <f t="shared" si="4"/>
        <v>401480</v>
      </c>
    </row>
    <row r="30" spans="1:37" ht="3.75" customHeight="1" x14ac:dyDescent="0.25">
      <c r="A30" s="212"/>
      <c r="B30" s="120"/>
      <c r="C30" s="120"/>
      <c r="D30" s="120"/>
      <c r="E30" s="120"/>
      <c r="F30" s="120"/>
      <c r="G30" s="120"/>
      <c r="H30" s="120"/>
      <c r="I30" s="120"/>
      <c r="J30" s="3"/>
      <c r="K30" s="120"/>
      <c r="L30" s="120"/>
      <c r="M30" s="199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99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99"/>
    </row>
    <row r="31" spans="1:37" x14ac:dyDescent="0.25">
      <c r="A31" s="212" t="s">
        <v>258</v>
      </c>
      <c r="B31" s="120">
        <f>(B10+B18)*'Исходные данные'!$F$24</f>
        <v>14000</v>
      </c>
      <c r="C31" s="120">
        <f>(C10+C18)*'Исходные данные'!$F$24</f>
        <v>34128</v>
      </c>
      <c r="D31" s="120">
        <f>(D10+D18)*'Исходные данные'!$F$24</f>
        <v>29376</v>
      </c>
      <c r="E31" s="120">
        <f>(E10+E18)*'Исходные данные'!$F$24</f>
        <v>33376</v>
      </c>
      <c r="F31" s="120">
        <f>(F10+F18)*'Исходные данные'!$F$24</f>
        <v>33376</v>
      </c>
      <c r="G31" s="120">
        <f>(G10+G18)*'Исходные данные'!$F$24</f>
        <v>36376</v>
      </c>
      <c r="H31" s="120">
        <f>(H10+H18)*'Исходные данные'!$F$24</f>
        <v>43960</v>
      </c>
      <c r="I31" s="120">
        <f>(I10+I18)*'Исходные данные'!$F$24</f>
        <v>47960</v>
      </c>
      <c r="J31" s="3">
        <f>(J10+J18)*'Исходные данные'!$F$24</f>
        <v>47960</v>
      </c>
      <c r="K31" s="120">
        <f>(K10+K18)*'Исходные данные'!$F$24</f>
        <v>67920</v>
      </c>
      <c r="L31" s="120">
        <f>(L10+L18)*'Исходные данные'!$F$24</f>
        <v>86920</v>
      </c>
      <c r="M31" s="199">
        <f>(M10+M18)*'Исходные данные'!$F$24</f>
        <v>96920</v>
      </c>
      <c r="N31" s="120">
        <f>(N10+N18)*'Исходные данные'!$F$24</f>
        <v>92960</v>
      </c>
      <c r="O31" s="120">
        <f>(O10+O18)*'Исходные данные'!$F$24</f>
        <v>109920</v>
      </c>
      <c r="P31" s="120">
        <f>(P10+P18)*'Исходные данные'!$F$24</f>
        <v>113920</v>
      </c>
      <c r="Q31" s="120">
        <f>(Q10+Q18)*'Исходные данные'!$F$24</f>
        <v>109960</v>
      </c>
      <c r="R31" s="120">
        <f>(R10+R18)*'Исходные данные'!$F$24</f>
        <v>109960</v>
      </c>
      <c r="S31" s="120">
        <f>(S10+S18)*'Исходные данные'!$F$24</f>
        <v>112792</v>
      </c>
      <c r="T31" s="120">
        <f>(T10+T18)*'Исходные данные'!$F$24</f>
        <v>116792</v>
      </c>
      <c r="U31" s="120">
        <f>(U10+U18)*'Исходные данные'!$F$24</f>
        <v>122960</v>
      </c>
      <c r="V31" s="120">
        <f>(V10+V18)*'Исходные данные'!$F$24</f>
        <v>122960</v>
      </c>
      <c r="W31" s="120">
        <f>(W10+W18)*'Исходные данные'!$F$24</f>
        <v>139920</v>
      </c>
      <c r="X31" s="120">
        <f>(X10+X18)*'Исходные данные'!$F$24</f>
        <v>143920</v>
      </c>
      <c r="Y31" s="199">
        <f>(Y10+Y18)*'Исходные данные'!$F$24</f>
        <v>153920</v>
      </c>
      <c r="Z31" s="120">
        <f>(Z10+Z18)*'Исходные данные'!$F$24</f>
        <v>149960</v>
      </c>
      <c r="AA31" s="120">
        <f>(AA10+AA18)*'Исходные данные'!$F$24</f>
        <v>166920</v>
      </c>
      <c r="AB31" s="120">
        <f>(AB10+AB18)*'Исходные данные'!$F$24</f>
        <v>176920</v>
      </c>
      <c r="AC31" s="120">
        <f>(AC10+AC18)*'Исходные данные'!$F$24</f>
        <v>172960</v>
      </c>
      <c r="AD31" s="120">
        <f>(AD10+AD18)*'Исходные данные'!$F$24</f>
        <v>172960</v>
      </c>
      <c r="AE31" s="120">
        <f>(AE10+AE18)*'Исходные данные'!$F$24</f>
        <v>175792</v>
      </c>
      <c r="AF31" s="120">
        <f>(AF10+AF18)*'Исходные данные'!$F$24</f>
        <v>179792</v>
      </c>
      <c r="AG31" s="120">
        <f>(AG10+AG18)*'Исходные данные'!$F$24</f>
        <v>182960</v>
      </c>
      <c r="AH31" s="120">
        <f>(AH10+AH18)*'Исходные данные'!$F$24</f>
        <v>182960</v>
      </c>
      <c r="AI31" s="120">
        <f>(AI10+AI18)*'Исходные данные'!$F$24</f>
        <v>199920</v>
      </c>
      <c r="AJ31" s="120">
        <f>(AJ10+AJ18)*'Исходные данные'!$F$24</f>
        <v>203920</v>
      </c>
      <c r="AK31" s="199">
        <f>(AK10+AK18)*'Исходные данные'!$F$24</f>
        <v>216920</v>
      </c>
    </row>
    <row r="32" spans="1:37" s="215" customFormat="1" ht="27" x14ac:dyDescent="0.25">
      <c r="A32" s="91" t="s">
        <v>259</v>
      </c>
      <c r="B32" s="213">
        <f t="shared" ref="B32:AK32" si="5">B7-B15-B29-B31</f>
        <v>-135500</v>
      </c>
      <c r="C32" s="213">
        <f t="shared" si="5"/>
        <v>-189028</v>
      </c>
      <c r="D32" s="213">
        <f t="shared" si="5"/>
        <v>-105001</v>
      </c>
      <c r="E32" s="213">
        <f t="shared" si="5"/>
        <v>-100114</v>
      </c>
      <c r="F32" s="213">
        <f t="shared" si="5"/>
        <v>-56227</v>
      </c>
      <c r="G32" s="213">
        <f t="shared" si="5"/>
        <v>-42340</v>
      </c>
      <c r="H32" s="213">
        <f t="shared" si="5"/>
        <v>-46604</v>
      </c>
      <c r="I32" s="213">
        <f t="shared" si="5"/>
        <v>-34959</v>
      </c>
      <c r="J32" s="213">
        <f t="shared" si="5"/>
        <v>32686</v>
      </c>
      <c r="K32" s="213">
        <f t="shared" si="5"/>
        <v>-14353</v>
      </c>
      <c r="L32" s="213">
        <f t="shared" si="5"/>
        <v>-47063</v>
      </c>
      <c r="M32" s="214">
        <f t="shared" si="5"/>
        <v>-8902</v>
      </c>
      <c r="N32" s="213">
        <f t="shared" si="5"/>
        <v>88943</v>
      </c>
      <c r="O32" s="213">
        <f t="shared" si="5"/>
        <v>64404</v>
      </c>
      <c r="P32" s="213">
        <f t="shared" si="5"/>
        <v>165194</v>
      </c>
      <c r="Q32" s="213">
        <f t="shared" si="5"/>
        <v>252910</v>
      </c>
      <c r="R32" s="213">
        <f t="shared" si="5"/>
        <v>317055</v>
      </c>
      <c r="S32" s="213">
        <f t="shared" si="5"/>
        <v>305744</v>
      </c>
      <c r="T32" s="213">
        <f t="shared" si="5"/>
        <v>284873</v>
      </c>
      <c r="U32" s="213">
        <f t="shared" si="5"/>
        <v>296958</v>
      </c>
      <c r="V32" s="213">
        <f t="shared" si="5"/>
        <v>352474</v>
      </c>
      <c r="W32" s="213">
        <f t="shared" si="5"/>
        <v>341064</v>
      </c>
      <c r="X32" s="213">
        <f t="shared" si="5"/>
        <v>415225</v>
      </c>
      <c r="Y32" s="214">
        <f t="shared" si="5"/>
        <v>454886</v>
      </c>
      <c r="Z32" s="213">
        <f t="shared" si="5"/>
        <v>549731</v>
      </c>
      <c r="AA32" s="213">
        <f t="shared" si="5"/>
        <v>545321</v>
      </c>
      <c r="AB32" s="213">
        <f t="shared" si="5"/>
        <v>576482</v>
      </c>
      <c r="AC32" s="213">
        <f t="shared" si="5"/>
        <v>680327</v>
      </c>
      <c r="AD32" s="213">
        <f t="shared" si="5"/>
        <v>733343</v>
      </c>
      <c r="AE32" s="213">
        <f t="shared" si="5"/>
        <v>722532</v>
      </c>
      <c r="AF32" s="213">
        <f t="shared" si="5"/>
        <v>699161</v>
      </c>
      <c r="AG32" s="213">
        <f t="shared" si="5"/>
        <v>733746</v>
      </c>
      <c r="AH32" s="213">
        <f t="shared" si="5"/>
        <v>802391</v>
      </c>
      <c r="AI32" s="213">
        <f t="shared" si="5"/>
        <v>773852</v>
      </c>
      <c r="AJ32" s="213">
        <f t="shared" si="5"/>
        <v>862013</v>
      </c>
      <c r="AK32" s="214">
        <f t="shared" si="5"/>
        <v>876803</v>
      </c>
    </row>
    <row r="33" spans="1:37" x14ac:dyDescent="0.25">
      <c r="A33" s="203" t="s">
        <v>260</v>
      </c>
      <c r="B33" s="120">
        <f t="shared" ref="B33:AK33" si="6">B7*0.05</f>
        <v>0</v>
      </c>
      <c r="C33" s="120">
        <f t="shared" si="6"/>
        <v>4800</v>
      </c>
      <c r="D33" s="120">
        <f t="shared" si="6"/>
        <v>7080</v>
      </c>
      <c r="E33" s="120">
        <f t="shared" si="6"/>
        <v>9060</v>
      </c>
      <c r="F33" s="120">
        <f t="shared" si="6"/>
        <v>11040</v>
      </c>
      <c r="G33" s="120">
        <f t="shared" si="6"/>
        <v>13020</v>
      </c>
      <c r="H33" s="120">
        <f t="shared" si="6"/>
        <v>15540</v>
      </c>
      <c r="I33" s="120">
        <f t="shared" si="6"/>
        <v>18840</v>
      </c>
      <c r="J33" s="3">
        <f t="shared" si="6"/>
        <v>22140</v>
      </c>
      <c r="K33" s="120">
        <f t="shared" si="6"/>
        <v>27780</v>
      </c>
      <c r="L33" s="120">
        <f t="shared" si="6"/>
        <v>34380</v>
      </c>
      <c r="M33" s="199">
        <f t="shared" si="6"/>
        <v>40320</v>
      </c>
      <c r="N33" s="120">
        <f t="shared" si="6"/>
        <v>43920</v>
      </c>
      <c r="O33" s="120">
        <f t="shared" si="6"/>
        <v>49560</v>
      </c>
      <c r="P33" s="120">
        <f t="shared" si="6"/>
        <v>56160</v>
      </c>
      <c r="Q33" s="120">
        <f t="shared" si="6"/>
        <v>59100</v>
      </c>
      <c r="R33" s="120">
        <f t="shared" si="6"/>
        <v>62400</v>
      </c>
      <c r="S33" s="120">
        <f t="shared" si="6"/>
        <v>63300</v>
      </c>
      <c r="T33" s="120">
        <f t="shared" si="6"/>
        <v>63960</v>
      </c>
      <c r="U33" s="120">
        <f t="shared" si="6"/>
        <v>67020</v>
      </c>
      <c r="V33" s="120">
        <f t="shared" si="6"/>
        <v>69660</v>
      </c>
      <c r="W33" s="120">
        <f t="shared" si="6"/>
        <v>75960</v>
      </c>
      <c r="X33" s="120">
        <f t="shared" si="6"/>
        <v>81900</v>
      </c>
      <c r="Y33" s="199">
        <f t="shared" si="6"/>
        <v>87840</v>
      </c>
      <c r="Z33" s="120">
        <f t="shared" si="6"/>
        <v>91440</v>
      </c>
      <c r="AA33" s="120">
        <f t="shared" si="6"/>
        <v>97740</v>
      </c>
      <c r="AB33" s="120">
        <f t="shared" si="6"/>
        <v>103680</v>
      </c>
      <c r="AC33" s="120">
        <f t="shared" si="6"/>
        <v>107280</v>
      </c>
      <c r="AD33" s="120">
        <f t="shared" si="6"/>
        <v>109920</v>
      </c>
      <c r="AE33" s="120">
        <f t="shared" si="6"/>
        <v>110820</v>
      </c>
      <c r="AF33" s="120">
        <f t="shared" si="6"/>
        <v>111480</v>
      </c>
      <c r="AG33" s="120">
        <f t="shared" si="6"/>
        <v>114540</v>
      </c>
      <c r="AH33" s="120">
        <f t="shared" si="6"/>
        <v>117840</v>
      </c>
      <c r="AI33" s="120">
        <f t="shared" si="6"/>
        <v>123480</v>
      </c>
      <c r="AJ33" s="120">
        <f t="shared" si="6"/>
        <v>129420</v>
      </c>
      <c r="AK33" s="199">
        <f t="shared" si="6"/>
        <v>136020</v>
      </c>
    </row>
    <row r="34" spans="1:37" ht="40.5" x14ac:dyDescent="0.25">
      <c r="A34" s="40" t="s">
        <v>353</v>
      </c>
      <c r="B34" s="120">
        <f>IF(B24&gt;0,'Исходные данные'!$F$27*B33,0)</f>
        <v>0</v>
      </c>
      <c r="C34" s="120">
        <f>IF(C24&gt;0,'Исходные данные'!$F$27*C33,0)</f>
        <v>960</v>
      </c>
      <c r="D34" s="120">
        <f>IF(D24&gt;0,'Исходные данные'!$F$27*D33,0)</f>
        <v>0</v>
      </c>
      <c r="E34" s="120">
        <f>IF(E24&gt;0,'Исходные данные'!$F$27*E33,0)</f>
        <v>1812</v>
      </c>
      <c r="F34" s="120">
        <f>IF(F24&gt;0,'Исходные данные'!$F$27*F33,0)</f>
        <v>0</v>
      </c>
      <c r="G34" s="120">
        <f>IF(G24&gt;0,'Исходные данные'!$F$27*G33,0)</f>
        <v>2604</v>
      </c>
      <c r="H34" s="120">
        <f>IF(H24&gt;0,'Исходные данные'!$F$27*H33,0)</f>
        <v>3108</v>
      </c>
      <c r="I34" s="120">
        <f>IF(I24&gt;0,'Исходные данные'!$F$27*I33,0)</f>
        <v>3768</v>
      </c>
      <c r="J34" s="3">
        <f>IF(J24&gt;0,'Исходные данные'!$F$27*J33,0)</f>
        <v>0</v>
      </c>
      <c r="K34" s="120">
        <f>IF(K24&gt;0,'Исходные данные'!$F$27*K33,0)</f>
        <v>5556</v>
      </c>
      <c r="L34" s="120">
        <f>IF(L24&gt;0,'Исходные данные'!$F$27*L33,0)</f>
        <v>6876</v>
      </c>
      <c r="M34" s="199">
        <f>IF(M24&gt;0,'Исходные данные'!$F$27*M33,0)</f>
        <v>0</v>
      </c>
      <c r="N34" s="120">
        <f>IF(N24&gt;0,'Исходные данные'!$F$27*N33,0)</f>
        <v>8784</v>
      </c>
      <c r="O34" s="120">
        <f>IF(O24&gt;0,'Исходные данные'!$F$27*O33,0)</f>
        <v>9912</v>
      </c>
      <c r="P34" s="120">
        <f>IF(P24&gt;0,'Исходные данные'!$F$27*P33,0)</f>
        <v>0</v>
      </c>
      <c r="Q34" s="120">
        <f>IF(Q24&gt;0,'Исходные данные'!$F$27*Q33,0)</f>
        <v>11820</v>
      </c>
      <c r="R34" s="120">
        <f>IF(R24&gt;0,'Исходные данные'!$F$27*R33,0)</f>
        <v>12480</v>
      </c>
      <c r="S34" s="120">
        <f>IF(S24&gt;0,'Исходные данные'!$F$27*S33,0)</f>
        <v>12660</v>
      </c>
      <c r="T34" s="120">
        <f>IF(T24&gt;0,'Исходные данные'!$F$27*T33,0)</f>
        <v>12792</v>
      </c>
      <c r="U34" s="120">
        <f>IF(U24&gt;0,'Исходные данные'!$F$27*U33,0)</f>
        <v>13404</v>
      </c>
      <c r="V34" s="120">
        <f>IF(V24&gt;0,'Исходные данные'!$F$27*V33,0)</f>
        <v>0</v>
      </c>
      <c r="W34" s="120">
        <f>IF(W24&gt;0,'Исходные данные'!$F$27*W33,0)</f>
        <v>15192</v>
      </c>
      <c r="X34" s="120">
        <f>IF(X24&gt;0,'Исходные данные'!$F$27*X33,0)</f>
        <v>16380</v>
      </c>
      <c r="Y34" s="199">
        <f>IF(Y24&gt;0,'Исходные данные'!$F$27*Y33,0)</f>
        <v>0</v>
      </c>
      <c r="Z34" s="120">
        <f>IF(Z24&gt;0,'Исходные данные'!$F$27*Z33,0)</f>
        <v>18288</v>
      </c>
      <c r="AA34" s="120">
        <f>IF(AA24&gt;0,'Исходные данные'!$F$27*AA33,0)</f>
        <v>0</v>
      </c>
      <c r="AB34" s="120">
        <f>IF(AB24&gt;0,'Исходные данные'!$F$27*AB33,0)</f>
        <v>20736</v>
      </c>
      <c r="AC34" s="120">
        <f>IF(AC24&gt;0,'Исходные данные'!$F$27*AC33,0)</f>
        <v>21456</v>
      </c>
      <c r="AD34" s="120">
        <f>IF(AD24&gt;0,'Исходные данные'!$F$27*AD33,0)</f>
        <v>0</v>
      </c>
      <c r="AE34" s="120">
        <f>IF(AE24&gt;0,'Исходные данные'!$F$27*AE33,0)</f>
        <v>22164</v>
      </c>
      <c r="AF34" s="120">
        <f>IF(AF24&gt;0,'Исходные данные'!$F$27*AF33,0)</f>
        <v>22296</v>
      </c>
      <c r="AG34" s="120">
        <f>IF(AG24&gt;0,'Исходные данные'!$F$27*AG33,0)</f>
        <v>22908</v>
      </c>
      <c r="AH34" s="120">
        <f>IF(AH24&gt;0,'Исходные данные'!$F$27*AH33,0)</f>
        <v>0</v>
      </c>
      <c r="AI34" s="120">
        <f>IF(AI24&gt;0,'Исходные данные'!$F$27*AI33,0)</f>
        <v>24696</v>
      </c>
      <c r="AJ34" s="120">
        <f>IF(AJ24&gt;0,'Исходные данные'!$F$27*AJ33,0)</f>
        <v>0</v>
      </c>
      <c r="AK34" s="199">
        <f>IF(AK24&gt;0,'Исходные данные'!$F$27*AK33,0)</f>
        <v>27204</v>
      </c>
    </row>
    <row r="35" spans="1:37" ht="3.75" customHeight="1" x14ac:dyDescent="0.25">
      <c r="A35" s="203"/>
      <c r="B35" s="120"/>
      <c r="C35" s="120"/>
      <c r="D35" s="120"/>
      <c r="E35" s="120"/>
      <c r="F35" s="120"/>
      <c r="G35" s="120"/>
      <c r="H35" s="120"/>
      <c r="I35" s="120"/>
      <c r="J35" s="3"/>
      <c r="K35" s="120"/>
      <c r="L35" s="120"/>
      <c r="M35" s="199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9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99"/>
    </row>
    <row r="36" spans="1:37" x14ac:dyDescent="0.25">
      <c r="A36" s="216" t="s">
        <v>261</v>
      </c>
      <c r="B36" s="120"/>
      <c r="C36" s="120"/>
      <c r="D36" s="120"/>
      <c r="E36" s="120"/>
      <c r="F36" s="120"/>
      <c r="G36" s="120"/>
      <c r="H36" s="120"/>
      <c r="I36" s="120"/>
      <c r="J36" s="3"/>
      <c r="K36" s="120"/>
      <c r="L36" s="120"/>
      <c r="M36" s="199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99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99"/>
    </row>
    <row r="37" spans="1:37" x14ac:dyDescent="0.25">
      <c r="A37" s="160" t="s">
        <v>262</v>
      </c>
      <c r="B37" s="120">
        <f>'Аренда и Рабочие места'!B21</f>
        <v>106100</v>
      </c>
      <c r="C37" s="120">
        <f>'Аренда и Рабочие места'!C21</f>
        <v>159150</v>
      </c>
      <c r="D37" s="120">
        <f>'Аренда и Рабочие места'!D21</f>
        <v>0</v>
      </c>
      <c r="E37" s="120">
        <f>'Аренда и Рабочие места'!E21</f>
        <v>53050</v>
      </c>
      <c r="F37" s="120">
        <f>'Аренда и Рабочие места'!F21</f>
        <v>0</v>
      </c>
      <c r="G37" s="120">
        <f>'Аренда и Рабочие места'!G21</f>
        <v>0</v>
      </c>
      <c r="H37" s="120">
        <f>'Аренда и Рабочие места'!H21</f>
        <v>53050</v>
      </c>
      <c r="I37" s="120">
        <f>'Аренда и Рабочие места'!I21</f>
        <v>53050</v>
      </c>
      <c r="J37" s="3">
        <f>'Аренда и Рабочие места'!J21</f>
        <v>0</v>
      </c>
      <c r="K37" s="120">
        <f>'Аренда и Рабочие места'!K21</f>
        <v>106100</v>
      </c>
      <c r="L37" s="120">
        <f>'Аренда и Рабочие места'!L21</f>
        <v>159150</v>
      </c>
      <c r="M37" s="199">
        <f>'Аренда и Рабочие места'!M21</f>
        <v>106100</v>
      </c>
      <c r="N37" s="120">
        <f>'Аренда и Рабочие места'!N21</f>
        <v>0</v>
      </c>
      <c r="O37" s="120">
        <f>'Аренда и Рабочие места'!O21</f>
        <v>106100</v>
      </c>
      <c r="P37" s="120">
        <f>'Аренда и Рабочие места'!P21</f>
        <v>53050</v>
      </c>
      <c r="Q37" s="120">
        <f>'Аренда и Рабочие места'!Q21</f>
        <v>0</v>
      </c>
      <c r="R37" s="120">
        <f>'Аренда и Рабочие места'!R21</f>
        <v>0</v>
      </c>
      <c r="S37" s="120">
        <f>'Аренда и Рабочие места'!S21</f>
        <v>53050</v>
      </c>
      <c r="T37" s="120">
        <f>'Аренда и Рабочие места'!T21</f>
        <v>53050</v>
      </c>
      <c r="U37" s="120">
        <f>'Аренда и Рабочие места'!U21</f>
        <v>0</v>
      </c>
      <c r="V37" s="120">
        <f>'Аренда и Рабочие места'!V21</f>
        <v>0</v>
      </c>
      <c r="W37" s="120">
        <f>'Аренда и Рабочие места'!W21</f>
        <v>106100</v>
      </c>
      <c r="X37" s="120">
        <f>'Аренда и Рабочие места'!X21</f>
        <v>53050</v>
      </c>
      <c r="Y37" s="199">
        <f>'Аренда и Рабочие места'!Y21</f>
        <v>106100</v>
      </c>
      <c r="Z37" s="120">
        <f>'Аренда и Рабочие места'!Z21</f>
        <v>0</v>
      </c>
      <c r="AA37" s="120">
        <f>'Аренда и Рабочие места'!AA21</f>
        <v>106100</v>
      </c>
      <c r="AB37" s="120">
        <f>'Аренда и Рабочие места'!AB21</f>
        <v>106100</v>
      </c>
      <c r="AC37" s="120">
        <f>'Аренда и Рабочие места'!AC21</f>
        <v>0</v>
      </c>
      <c r="AD37" s="120">
        <f>'Аренда и Рабочие места'!AD21</f>
        <v>0</v>
      </c>
      <c r="AE37" s="120">
        <f>'Аренда и Рабочие места'!AE21</f>
        <v>53050</v>
      </c>
      <c r="AF37" s="120">
        <f>'Аренда и Рабочие места'!AF21</f>
        <v>53050</v>
      </c>
      <c r="AG37" s="120">
        <f>'Аренда и Рабочие места'!AG21</f>
        <v>0</v>
      </c>
      <c r="AH37" s="120">
        <f>'Аренда и Рабочие места'!AH21</f>
        <v>0</v>
      </c>
      <c r="AI37" s="120">
        <f>'Аренда и Рабочие места'!AI21</f>
        <v>106100</v>
      </c>
      <c r="AJ37" s="120">
        <f>'Аренда и Рабочие места'!AJ21</f>
        <v>53050</v>
      </c>
      <c r="AK37" s="199">
        <f>'Аренда и Рабочие места'!AK21</f>
        <v>106100</v>
      </c>
    </row>
    <row r="38" spans="1:37" x14ac:dyDescent="0.25">
      <c r="A38" s="217" t="s">
        <v>263</v>
      </c>
      <c r="B38" s="120">
        <f>SUM(B37:B37)+'Исходные данные'!B26</f>
        <v>166100</v>
      </c>
      <c r="C38" s="120">
        <f t="shared" ref="C38:AK38" si="7">SUM(C37:C37)</f>
        <v>159150</v>
      </c>
      <c r="D38" s="120">
        <f t="shared" si="7"/>
        <v>0</v>
      </c>
      <c r="E38" s="120">
        <f t="shared" si="7"/>
        <v>53050</v>
      </c>
      <c r="F38" s="120">
        <f t="shared" si="7"/>
        <v>0</v>
      </c>
      <c r="G38" s="120">
        <f t="shared" si="7"/>
        <v>0</v>
      </c>
      <c r="H38" s="120">
        <f t="shared" si="7"/>
        <v>53050</v>
      </c>
      <c r="I38" s="120">
        <f t="shared" si="7"/>
        <v>53050</v>
      </c>
      <c r="J38" s="3">
        <f t="shared" si="7"/>
        <v>0</v>
      </c>
      <c r="K38" s="120">
        <f t="shared" si="7"/>
        <v>106100</v>
      </c>
      <c r="L38" s="120">
        <f t="shared" si="7"/>
        <v>159150</v>
      </c>
      <c r="M38" s="199">
        <f t="shared" si="7"/>
        <v>106100</v>
      </c>
      <c r="N38" s="120">
        <f t="shared" si="7"/>
        <v>0</v>
      </c>
      <c r="O38" s="120">
        <f t="shared" si="7"/>
        <v>106100</v>
      </c>
      <c r="P38" s="120">
        <f t="shared" si="7"/>
        <v>53050</v>
      </c>
      <c r="Q38" s="120">
        <f t="shared" si="7"/>
        <v>0</v>
      </c>
      <c r="R38" s="120">
        <f t="shared" si="7"/>
        <v>0</v>
      </c>
      <c r="S38" s="120">
        <f t="shared" si="7"/>
        <v>53050</v>
      </c>
      <c r="T38" s="120">
        <f t="shared" si="7"/>
        <v>53050</v>
      </c>
      <c r="U38" s="120">
        <f t="shared" si="7"/>
        <v>0</v>
      </c>
      <c r="V38" s="120">
        <f t="shared" si="7"/>
        <v>0</v>
      </c>
      <c r="W38" s="120">
        <f t="shared" si="7"/>
        <v>106100</v>
      </c>
      <c r="X38" s="120">
        <f t="shared" si="7"/>
        <v>53050</v>
      </c>
      <c r="Y38" s="199">
        <f t="shared" si="7"/>
        <v>106100</v>
      </c>
      <c r="Z38" s="120">
        <f t="shared" si="7"/>
        <v>0</v>
      </c>
      <c r="AA38" s="120">
        <f t="shared" si="7"/>
        <v>106100</v>
      </c>
      <c r="AB38" s="120">
        <f t="shared" si="7"/>
        <v>106100</v>
      </c>
      <c r="AC38" s="120">
        <f t="shared" si="7"/>
        <v>0</v>
      </c>
      <c r="AD38" s="120">
        <f t="shared" si="7"/>
        <v>0</v>
      </c>
      <c r="AE38" s="120">
        <f t="shared" si="7"/>
        <v>53050</v>
      </c>
      <c r="AF38" s="120">
        <f t="shared" si="7"/>
        <v>53050</v>
      </c>
      <c r="AG38" s="120">
        <f t="shared" si="7"/>
        <v>0</v>
      </c>
      <c r="AH38" s="120">
        <f t="shared" si="7"/>
        <v>0</v>
      </c>
      <c r="AI38" s="120">
        <f t="shared" si="7"/>
        <v>106100</v>
      </c>
      <c r="AJ38" s="120">
        <f t="shared" si="7"/>
        <v>53050</v>
      </c>
      <c r="AK38" s="199">
        <f t="shared" si="7"/>
        <v>106100</v>
      </c>
    </row>
    <row r="39" spans="1:37" ht="3" customHeight="1" x14ac:dyDescent="0.25">
      <c r="A39" s="159"/>
      <c r="B39" s="120"/>
      <c r="C39" s="120"/>
      <c r="D39" s="120"/>
      <c r="E39" s="120"/>
      <c r="F39" s="120"/>
      <c r="G39" s="120"/>
      <c r="H39" s="120"/>
      <c r="I39" s="120"/>
      <c r="J39" s="3"/>
      <c r="K39" s="120"/>
      <c r="L39" s="120"/>
      <c r="M39" s="199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99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99"/>
    </row>
    <row r="40" spans="1:37" x14ac:dyDescent="0.25">
      <c r="A40" s="200" t="s">
        <v>264</v>
      </c>
      <c r="B40" s="120">
        <f>B15+B29+(B33-B34)+B38+B31</f>
        <v>301600</v>
      </c>
      <c r="C40" s="120">
        <f t="shared" ref="C40:AK40" si="8">C15+C29+(C33-C34)+C38+C31</f>
        <v>448018</v>
      </c>
      <c r="D40" s="120">
        <f t="shared" si="8"/>
        <v>253681</v>
      </c>
      <c r="E40" s="120">
        <f t="shared" si="8"/>
        <v>341612</v>
      </c>
      <c r="F40" s="120">
        <f t="shared" si="8"/>
        <v>288067</v>
      </c>
      <c r="G40" s="120">
        <f t="shared" si="8"/>
        <v>313156</v>
      </c>
      <c r="H40" s="120">
        <f t="shared" si="8"/>
        <v>422886</v>
      </c>
      <c r="I40" s="120">
        <f t="shared" si="8"/>
        <v>479881</v>
      </c>
      <c r="J40" s="120">
        <f t="shared" si="8"/>
        <v>432254</v>
      </c>
      <c r="K40" s="120">
        <f t="shared" si="8"/>
        <v>698277</v>
      </c>
      <c r="L40" s="120">
        <f t="shared" si="8"/>
        <v>921317</v>
      </c>
      <c r="M40" s="199">
        <f t="shared" si="8"/>
        <v>961722</v>
      </c>
      <c r="N40" s="120">
        <f t="shared" si="8"/>
        <v>824593</v>
      </c>
      <c r="O40" s="120">
        <f t="shared" si="8"/>
        <v>1072544</v>
      </c>
      <c r="P40" s="120">
        <f t="shared" si="8"/>
        <v>1067216</v>
      </c>
      <c r="Q40" s="120">
        <f t="shared" si="8"/>
        <v>976370</v>
      </c>
      <c r="R40" s="120">
        <f t="shared" si="8"/>
        <v>980865</v>
      </c>
      <c r="S40" s="120">
        <f t="shared" si="8"/>
        <v>1063946</v>
      </c>
      <c r="T40" s="120">
        <f t="shared" si="8"/>
        <v>1098545</v>
      </c>
      <c r="U40" s="120">
        <f t="shared" si="8"/>
        <v>1097058</v>
      </c>
      <c r="V40" s="120">
        <f t="shared" si="8"/>
        <v>1110386</v>
      </c>
      <c r="W40" s="120">
        <f t="shared" si="8"/>
        <v>1345004</v>
      </c>
      <c r="X40" s="120">
        <f t="shared" si="8"/>
        <v>1341345</v>
      </c>
      <c r="Y40" s="199">
        <f t="shared" si="8"/>
        <v>1495854</v>
      </c>
      <c r="Z40" s="120">
        <f t="shared" si="8"/>
        <v>1352221</v>
      </c>
      <c r="AA40" s="120">
        <f t="shared" si="8"/>
        <v>1613319</v>
      </c>
      <c r="AB40" s="120">
        <f t="shared" si="8"/>
        <v>1686162</v>
      </c>
      <c r="AC40" s="120">
        <f t="shared" si="8"/>
        <v>1551097</v>
      </c>
      <c r="AD40" s="120">
        <f t="shared" si="8"/>
        <v>1574977</v>
      </c>
      <c r="AE40" s="120">
        <f t="shared" si="8"/>
        <v>1635574</v>
      </c>
      <c r="AF40" s="120">
        <f t="shared" si="8"/>
        <v>1672673</v>
      </c>
      <c r="AG40" s="120">
        <f t="shared" si="8"/>
        <v>1648686</v>
      </c>
      <c r="AH40" s="120">
        <f t="shared" si="8"/>
        <v>1672249</v>
      </c>
      <c r="AI40" s="120">
        <f t="shared" si="8"/>
        <v>1900632</v>
      </c>
      <c r="AJ40" s="120">
        <f t="shared" si="8"/>
        <v>1908857</v>
      </c>
      <c r="AK40" s="199">
        <f t="shared" si="8"/>
        <v>2058513</v>
      </c>
    </row>
    <row r="41" spans="1:37" x14ac:dyDescent="0.25">
      <c r="A41" s="218" t="s">
        <v>265</v>
      </c>
      <c r="B41" s="219">
        <f t="shared" ref="B41:AK41" si="9">B7-B40</f>
        <v>-301600</v>
      </c>
      <c r="C41" s="219">
        <f t="shared" si="9"/>
        <v>-352018</v>
      </c>
      <c r="D41" s="219">
        <f t="shared" si="9"/>
        <v>-112081</v>
      </c>
      <c r="E41" s="219">
        <f t="shared" si="9"/>
        <v>-160412</v>
      </c>
      <c r="F41" s="219">
        <f t="shared" si="9"/>
        <v>-67267</v>
      </c>
      <c r="G41" s="219">
        <f t="shared" si="9"/>
        <v>-52756</v>
      </c>
      <c r="H41" s="219">
        <f t="shared" si="9"/>
        <v>-112086</v>
      </c>
      <c r="I41" s="219">
        <f t="shared" si="9"/>
        <v>-103081</v>
      </c>
      <c r="J41" s="219">
        <f t="shared" si="9"/>
        <v>10546</v>
      </c>
      <c r="K41" s="219">
        <f t="shared" si="9"/>
        <v>-142677</v>
      </c>
      <c r="L41" s="219">
        <f t="shared" si="9"/>
        <v>-233717</v>
      </c>
      <c r="M41" s="220">
        <f t="shared" si="9"/>
        <v>-155322</v>
      </c>
      <c r="N41" s="219">
        <f t="shared" si="9"/>
        <v>53807</v>
      </c>
      <c r="O41" s="219">
        <f t="shared" si="9"/>
        <v>-81344</v>
      </c>
      <c r="P41" s="219">
        <f t="shared" si="9"/>
        <v>55984</v>
      </c>
      <c r="Q41" s="219">
        <f t="shared" si="9"/>
        <v>205630</v>
      </c>
      <c r="R41" s="219">
        <f t="shared" si="9"/>
        <v>267135</v>
      </c>
      <c r="S41" s="219">
        <f t="shared" si="9"/>
        <v>202054</v>
      </c>
      <c r="T41" s="219">
        <f t="shared" si="9"/>
        <v>180655</v>
      </c>
      <c r="U41" s="219">
        <f t="shared" si="9"/>
        <v>243342</v>
      </c>
      <c r="V41" s="219">
        <f t="shared" si="9"/>
        <v>282814</v>
      </c>
      <c r="W41" s="219">
        <f t="shared" si="9"/>
        <v>174196</v>
      </c>
      <c r="X41" s="219">
        <f t="shared" si="9"/>
        <v>296655</v>
      </c>
      <c r="Y41" s="220">
        <f t="shared" si="9"/>
        <v>260946</v>
      </c>
      <c r="Z41" s="219">
        <f t="shared" si="9"/>
        <v>476579</v>
      </c>
      <c r="AA41" s="219">
        <f t="shared" si="9"/>
        <v>341481</v>
      </c>
      <c r="AB41" s="219">
        <f t="shared" si="9"/>
        <v>387438</v>
      </c>
      <c r="AC41" s="219">
        <f t="shared" si="9"/>
        <v>594503</v>
      </c>
      <c r="AD41" s="219">
        <f t="shared" si="9"/>
        <v>623423</v>
      </c>
      <c r="AE41" s="219">
        <f t="shared" si="9"/>
        <v>580826</v>
      </c>
      <c r="AF41" s="219">
        <f t="shared" si="9"/>
        <v>556927</v>
      </c>
      <c r="AG41" s="219">
        <f t="shared" si="9"/>
        <v>642114</v>
      </c>
      <c r="AH41" s="219">
        <f t="shared" si="9"/>
        <v>684551</v>
      </c>
      <c r="AI41" s="219">
        <f t="shared" si="9"/>
        <v>568968</v>
      </c>
      <c r="AJ41" s="219">
        <f t="shared" si="9"/>
        <v>679543</v>
      </c>
      <c r="AK41" s="220">
        <f t="shared" si="9"/>
        <v>661887</v>
      </c>
    </row>
    <row r="42" spans="1:37" s="186" customFormat="1" x14ac:dyDescent="0.25">
      <c r="A42" s="218" t="s">
        <v>266</v>
      </c>
      <c r="B42" s="120">
        <f>IF(SUM(B7)-SUM(B15)-SUM(B29)&lt;0,SUM(B7)*0.01,(SUM(B7)-SUM(B15)-SUM(B29))*'Исходные данные'!$F$43)</f>
        <v>0</v>
      </c>
      <c r="C42" s="120">
        <f>IF(SUM(B7,C7)-SUM(B15,C15)-SUM(B29,C29)&lt;0,SUM(B7,C7)*0.01,(SUM(B7,C7)-SUM(B15,C15)-SUM(B29,C29))*'Исходные данные'!$F$43)-B42</f>
        <v>960</v>
      </c>
      <c r="D42" s="219">
        <f>IF(SUM(B7,C7,D7)-SUM(B15,C15,D15)-SUM(B29,C29,D29)&lt;0,SUM(B7,C7,D7)*0.01,(SUM(B7,C7,D7)-SUM(B15,C15,D15)-SUM(B29,C29,D29))*'Исходные данные'!$F$43)-B42-C42</f>
        <v>1416</v>
      </c>
      <c r="E42" s="219">
        <f>IF(SUM(B7,C7,D7,E7)-SUM(B15,C15,D15,E15)-SUM(B29,C29,D29,E29)&lt;0,SUM(B7,C7,D7,E7)*0.01,(SUM(B7,C7,D7,E7)-SUM(B15,C15,D15,E15)-SUM(B29,C29,D29,E29))*'Исходные данные'!$F$43)-B42-D42-C42</f>
        <v>1812</v>
      </c>
      <c r="F42" s="219">
        <f>IF(SUM(B7,C7,D7,E7,F7)-SUM(B15,C15,D15,E15,F15)-SUM(B29,C29,D29,E29,F29)&lt;0,SUM(B7,C7,D7,E7,F7)*0.01,(SUM(B7,C7,D7,E7,F7)-SUM(B15,C15,D15,E15,F15)-SUM(B29,C29,D29,E29,F29))*'Исходные данные'!$F$43)-B42-E42-D42-C42</f>
        <v>2208</v>
      </c>
      <c r="G42" s="219">
        <f>IF(SUM(B7,C7,D7,E7,F7,G7)-SUM(B15,C15,D15,E15,F15,G15)-SUM(B29,C29,D29,E29,F29,G29)&lt;0,SUM(B7,C7,D7,E7,F7,G7)*0.01,(SUM(B7,C7,D7,E7,F7,G7)-SUM(B15,C15,D15,E15,F15,G15)-SUM(B29,C29,D29,E29,F29,G29))*'Исходные данные'!$F$43)-F42-E42-D42-C42-B42</f>
        <v>2604</v>
      </c>
      <c r="H42" s="219">
        <f>IF(SUM(B7,C7,D7,E7,F7,G7,H7)-SUM(B15,C15,D15,E15,F15,G15,H15)-SUM(B29,C29,D29,E29,F29,G29,H29)&lt;0,SUM(B7,C7,D7,E7,F7,G7,H7)*0.01,(SUM(B7,C7,D7,E7,F7,G7,H7)-SUM(B15,C15,D15,E15,F15,G15,H15)-SUM(B29,C29,D29,E29,F29,G29,H29))*'Исходные данные'!$F$43)-G42-F42-E42-D42-C42-B42</f>
        <v>3108</v>
      </c>
      <c r="I42" s="219">
        <f>IF(SUM(B7,C7,D7,E7,F7,G7,H7,I7)-SUM(B15,C15,D15,E15,F15,G15,H15,I15)-SUM(B29,C29,D29,E29,F29,G29,H29,I29)&lt;0,SUM(B7,C7,D7,E7,F7,G7,H7,I7)*0.01,(SUM(B7,C7,D7,E7,F7,G7,H7,I7)-SUM(B15,C15,D15,E15,F15,G15,H15,I15)-SUM(B29,C29,D29,E29,F29,G29,H29,I29))*'Исходные данные'!$F$43)-H42-G42-F42-E42-D42-C42-B42</f>
        <v>3768</v>
      </c>
      <c r="J42" s="219">
        <f>IF(SUM(B7,C7,D7,E7,F7,G7,H7,I7,J7)-SUM(B15,C15,D15,E15,F15,G15,H15,I15,J15)-SUM(B29,C29,D29,E29,F29,G29,H29,I29,J29)&lt;0,SUM(B7,C7,D7,E7,F7,G7,H7,I7,J7)*0.01,(SUM(B7,C7,D7,E7,F7,G7,H7,I7,J7)-SUM(B15,C15,D15,E15,F15,G15,H15,I15,J15)-SUM(B29,C29,D29,E29,F29,G29,H29,I29,J29))*'Исходные данные'!$F$43)-I42-H42-G42-F42-E42-D42-C42-B42</f>
        <v>4428</v>
      </c>
      <c r="K42" s="219">
        <f>IF(SUM(B7,C7,D7,E7,F7,G7,H7,I7,J7,K7)-SUM(B15,C15,D15,E15,F15,G15,H15,I15,J15,K15)-SUM(B29,C29,D29,E29,F29,G29,H29,I29,J29,K29)&lt;0,SUM(B7,C7,D7,E7,F7,G7,H7,I7,J7,K7)*0.01,(SUM(B7,C7,D7,E7,F7,G7,H7,I7,J7,K7)-SUM(B15,C15,D15,E15,F15,G15,H15,I15,J15,K15)-SUM(B29,C29,D29,E29,F29,G29,H29,I29,J29,K29))*'Исходные данные'!$F$43)-J42-I42-H42-G42-F42-E42-D42-C42-B42</f>
        <v>5556</v>
      </c>
      <c r="L42" s="219">
        <f>IF(SUM(B7,C7,D7,E7,F7,G7,H7,I7,J7,K7,L7)-SUM(B15,C15,D15,E15,F15,G15,H15,I15,J15,K15,L15)-SUM(B29,C29,D29,E29,F29,G29,H29,I29,J29,K29,L29)&lt;0,SUM(B7,C7,D7,E7,F7,G7,H7,I7,J7,K7,L7)*0.01,(SUM(B17,C7,D7,E7,F7,G7,H7,I7,J7,K7,L7)-SUM(B15,C15,D15,E15,F15,G15,H15,I15,J15,K15,L15)-SUM(B29,C29,D29,E29,F29,G29,H29,I29,J29,K29,L29))*'Исходные данные'!$F$43)-K42-J42-I42-H42-G42-F42-E42-D42-C42-B42</f>
        <v>6876</v>
      </c>
      <c r="M42" s="220">
        <f>IF(SUM(B7,C7,D7,E7,F7,G7,H7,I7,J7,K7,L7,M7)-SUM(B15,C15,D15,E15,F15,G15,H15,I15,J15,K15,L15,M15)-SUM(B29,C29,D29,E29,F29,G29,H29,I29,J29,K29,L29,M29)&lt;0,SUM(B7,C7,D7,E7,F7,G7,H7,I7,J7,K7,L7,M7)*0.01,(SUM(B7,C7,D7,E7,F7,G7,H7,I7,J7,K7,L7,M7)-SUM(B15,C15,D15,E15,F15,G15,H15,I15,J15,K15,L15,M15)-SUM(B29,C29,D29,E29,F29,G29,H29,I29,J29,K29,L29,M29))*'Исходные данные'!$F$43)-L42-K42-J42-I42-H42-G42-F42-E42-D42-C42-B42</f>
        <v>8064</v>
      </c>
      <c r="N42" s="120">
        <f>IF(SUM(N7)-SUM(N15)-SUM(N29)&lt;0,SUM(N7)*0.01,(SUM(N7)-SUM(N15)-SUM(N29))*'Исходные данные'!$F$43)</f>
        <v>27285.45</v>
      </c>
      <c r="O42" s="120">
        <f>IF(SUM(N7,O7)-SUM(N15,O15)-SUM(N29,O29)&lt;0,SUM(N7,O7)*0.01,(SUM(N7,O7)-SUM(N15,O15)-SUM(N29,O29))*'Исходные данные'!$F$43)-N42</f>
        <v>26148.599999999995</v>
      </c>
      <c r="P42" s="219">
        <f>IF(SUM(N7,O7,P7)-SUM(N15,O15,P15)-SUM(N29,O29,P29)&lt;0,SUM(N7,O7,P7)*0.01,(SUM(N7,O7,P7)-SUM(N15,O15,P15)-SUM(N29,O29,P29))*'Исходные данные'!$F$43)-N42-O42</f>
        <v>41867.100000000006</v>
      </c>
      <c r="Q42" s="219">
        <f>IF(SUM(N7,O7,P7,Q7)-SUM(N15,O15,P15,Q15)-SUM(N29,O29,P29,Q29)&lt;0,SUM(N7,O7,P7,Q7)*0.01,(SUM(N7,O7,P7,Q7)-SUM(N15,O15,P15,Q15)-SUM(N29,O29,P29,Q29))*'Исходные данные'!$F$43)-N42-P42-O42</f>
        <v>54430.5</v>
      </c>
      <c r="R42" s="219">
        <f>IF(SUM(N7,O7,P7,Q7,R7)-SUM(N15,O15,P15,Q15,R15)-SUM(N29,O29,P29,Q29,R29)&lt;0,SUM(N7,O7,P7,Q7,R7)*0.01,(SUM(N7,O7,P7,Q7,R7)-SUM(N15,O15,P15,Q15,R15)-SUM(N29,O29,P29,Q29,R29))*'Исходные данные'!$F$43)-N42-Q42-P42-O42</f>
        <v>64052.249999999985</v>
      </c>
      <c r="S42" s="219">
        <f>IF(SUM(N7,O7,P7,Q7,R7,S7)-SUM(N15,O15,P15,Q15,R15,S15)-SUM(N29,O29,P29,Q29,R29,S29)&lt;0,SUM(N7,O7,P7,Q7,R7,S7)*0.01,(SUM(N7,O7,P7,Q7,R7,S7)-SUM(N15,O15,P15,Q15,R15,S15)-SUM(N29,O29,P29,Q29,R29,S29))*'Исходные данные'!$F$43)-R42-Q42-P42-O42-N42</f>
        <v>62780.399999999994</v>
      </c>
      <c r="T42" s="219">
        <f>IF(SUM(N7,O7,P7,Q7,R7,S7,T7)-SUM(N15,O15,P15,Q15,R15,S15,T15)-SUM(N29,O29,P29,Q29,R29,S29,T29)&lt;0,SUM(N7,O7,P7,Q7,R7,S7,T7)*0.01,(SUM(N7,O7,P7,Q7,R7,S7,T7)-SUM(N15,O15,P15,Q15,R15,S15,T15)-SUM(N29,O29,P29,Q29,R29,S29,T29))*'Исходные данные'!$F$43)-S42-R42-Q42-P42-O42-N42</f>
        <v>60249.750000000029</v>
      </c>
      <c r="U42" s="219">
        <f>IF(SUM(N7,O7,P7,Q7,R7,S7,T7,U7)-SUM(N15,O15,P15,Q15,R15,S15,T15,U15)-SUM(N29,O29,P29,Q29,R29,S29,T29,U29)&lt;0,SUM(N7,O7,P7,Q7,R7,S7,T7,U7)*0.01,(SUM(N7,O7,P7,Q7,R7,S7,T7,U7)-SUM(N15,O15,P15,Q15,R15,S15,T15,U15)-SUM(N29,O29,P29,Q29,R29,S29,T29,U29))*'Исходные данные'!$F$43)-T42-S42-R42-Q42-P42-O42-N42</f>
        <v>62987.699999999983</v>
      </c>
      <c r="V42" s="219">
        <f>IF(SUM(N7,O7,P7,Q7,R7,S7,T7,U7,V7)-SUM(N15,O15,P15,Q15,R15,S15,T15,U15,V15)-SUM(N29,O29,P29,Q29,R29,S29,T29,U29,V29)&lt;0,SUM(N7,O7,P7,Q7,R7,S7,T7,U7,V7)*0.01,(SUM(N7,O7,P7,Q7,R7,S7,T7,U7,V7)-SUM(N15,O15,P15,Q15,R15,S15,T15,U15,V15)-SUM(N29,O29,P29,Q29,R29,S29,T29,U29,V29))*'Исходные данные'!$F$43)-U42-T42-S42-R42-Q42-P42-O42-N42</f>
        <v>71315.100000000006</v>
      </c>
      <c r="W42" s="219">
        <f>IF(SUM(N7,O7,P7,Q7,R7,S7,T7,U7,V7,W7)-SUM(N15,O15,P15,Q15,R15,S15,T15,U15,V15,W15)-SUM(N29,O29,P29,Q29,R29,S29,T29,U29,V29,W29)&lt;0,SUM(N7,O7,P7,Q7,R7,S7,T7,U7,V7,W7)*0.01,(SUM(N7,O7,P7,Q7,R7,S7,T7,U7,V7,W7)-SUM(N15,O15,P15,Q15,R15,S15,T15,U15,V15,W15)-SUM(N29,O29,P29,Q29,R29,S29,T29,U29,V29,W29))*'Исходные данные'!$F$43)-V42-U42-T42-S42-R42-Q42-P42-O42-N42</f>
        <v>72147.600000000006</v>
      </c>
      <c r="X42" s="219">
        <f>IF(SUM(N7,O7,P7,Q7,R7,S7,T7,U7,V7,W7,X7)-SUM(N15,O15,P15,Q15,R15,S15,T15,U15,V15,W15,X15)-SUM(N29,O29,P29,Q29,R29,S29,T29,U29,V29,W29,X29)&lt;0,SUM(N7,O7,P7,Q7,R7,S7,T7,U7,V7,W7,X7)*0.01,(SUM(N17,O7,P7,Q7,R7,S7,T7,U7,V7,W7,X7)-SUM(N15,O15,P15,Q15,R15,S15,T15,U15,V15,W15,X15)-SUM(N29,O29,P29,Q29,R29,S29,T29,U29,V29,W29,X29))*'Исходные данные'!$F$43)-W42-V42-U42-T42-S42-R42-Q42-P42-O42-N42</f>
        <v>-47888.249999999964</v>
      </c>
      <c r="Y42" s="220">
        <f>IF(SUM(N7,O7,P7,Q7,R7,S7,T7,U7,V7,W7,X7,Y7)-SUM(N15,O15,P15,Q15,R15,S15,T15,U15,V15,W15,X15,Y15)-SUM(N29,O29,P29,Q29,R29,S29,T29,U29,V29,W29,X29,Y29)&lt;0,SUM(N7,O7,P7,Q7,R7,S7,T7,U7,V7,W7,X7,Y7)*0.01,(SUM(N7,O7,P7,Q7,R7,S7,T7,U7,V7,W7,X7,Y7)-SUM(N15,O15,P15,Q15,R15,S15,T15,U15,V15,W15,X15,Y15)-SUM(N29,O29,P29,Q29,R29,S29,T29,U29,V29,W29,X29,Y29))*'Исходные данные'!$F$43)-X42-W42-V42-U42-T42-S42-R42-Q42-P42-O42-N42</f>
        <v>223080.90000000005</v>
      </c>
      <c r="Z42" s="120">
        <f>IF(SUM(Z7)-SUM(Z15)-SUM(Z29)&lt;0,SUM(Z7)*0.01,(SUM(Z7)-SUM(Z15)-SUM(Z29))*'Исходные данные'!$F$43)</f>
        <v>104953.65</v>
      </c>
      <c r="AA42" s="120">
        <f>IF(SUM(Z7,AA7)-SUM(Z15,AA15)-SUM(Z29,AA29)&lt;0,SUM(Z7,AA7)*0.01,(SUM(Z7,AA7)-SUM(Z15,AA15)-SUM(Z29,AA29))*'Исходные данные'!$F$43)-Z42</f>
        <v>106836.15</v>
      </c>
      <c r="AB42" s="219">
        <f>IF(SUM(Z7,AA7,AB7)-SUM(Z15,AA15,AB15)-SUM(Z29,AA29,AB29)&lt;0,SUM(Z7,AA7,AB7)*0.01,(SUM(Z7,AA7,AB7)-SUM(Z15,AA15,AB15)-SUM(Z29,AA29,AB29))*'Исходные данные'!$F$43)-Z42-AA42</f>
        <v>113010.29999999999</v>
      </c>
      <c r="AC42" s="219">
        <f>IF(SUM(Z7,AA7,AB7,AC7)-SUM(Z15,AA15,AB15,AC15)-SUM(Z29,AA29,AB29,AC29)&lt;0,SUM(Z7,AA7,AB7,AC7)*0.01,(SUM(Z7,AA7,AB7,AC7)-SUM(Z15,AA15,AB15,AC15)-SUM(Z29,AA29,AB29,AC29))*'Исходные данные'!$F$43)-Z42-AB42-AA42</f>
        <v>127993.05000000002</v>
      </c>
      <c r="AD42" s="219">
        <f>IF(SUM(Z7,AA7,AB7,AC7,AD7)-SUM(Z15,AA15,AB15,AC15,AD15)-SUM(Z29,AA29,AB29,AC29,AD29)&lt;0,SUM(Z7,AA7,AB7,AC7,AD7)*0.01,(SUM(Z7,AA7,AB7,AC7,AD7)-SUM(Z15,AA15,AB15,AC15,AD15)-SUM(Z29,AA29,AB29,AC29,AD29))*'Исходные данные'!$F$43)-Z42-AC42-AB42-AA42</f>
        <v>135945.44999999992</v>
      </c>
      <c r="AE42" s="219">
        <f>IF(SUM(Z7,AA7,AB7,AC7,AD7,AE7)-SUM(Z15,AA15,AB15,AC15,AD15,AE15)-SUM(Z29,AA29,AB29,AC29,AD29,AE29)&lt;0,SUM(Z7,AA7,AB7,AC7,AD7,AE7)*0.01,(SUM(Z7,AA7,AB7,AC7,AD7,AE7)-SUM(Z15,AA15,AB15,AC15,AD15,AE15)-SUM(Z29,AA29,AB29,AC29,AD29,AE29))*'Исходные данные'!$F$43)-AD42-AC42-AB42-AA42-Z42</f>
        <v>134748.59999999998</v>
      </c>
      <c r="AF42" s="219">
        <f>IF(SUM(Z7,AA7,AB7,AC7,AD7,AE7,AF7)-SUM(Z15,AA15,AB15,AC15,AD15,AE15,AF15)-SUM(Z29,AA29,AB29,AC29,AD29,AE29,AF29)&lt;0,SUM(Z7,AA7,AB7,AC7,AD7,AE7,AF7)*0.01,(SUM(Z7,AA7,AB7,AC7,AD7,AE7,AF7)-SUM(Z15,AA15,AB15,AC15,AD15,AE15,AF15)-SUM(Z29,AA29,AB29,AC29,AD29,AE29,AF29))*'Исходные данные'!$F$43)-AE42-AD42-AC42-AB42-AA42-Z42</f>
        <v>131842.95000000007</v>
      </c>
      <c r="AG42" s="219">
        <f>IF(SUM(Z7,AA7,AB7,AC7,AD7,AE7,AF7,AG7)-SUM(Z15,AA15,AB15,AC15,AD15,AE15,AF15,AG15)-SUM(Z29,AA29,AB29,AC29,AD29,AE29,AF29,AG29)&lt;0,SUM(Z7,AA7,AB7,AC7,AD7,AE7,AF7,AG7)*0.01,(SUM(Z7,AA7,AB7,AC7,AD7,AE7,AF7,AG7)-SUM(Z15,AA15,AB15,AC15,AD15,AE15,AF15,AG15)-SUM(Z29,AA29,AB29,AC29,AD29,AE29,AF29,AG29))*'Исходные данные'!$F$43)-AF42-AE42-AD42-AC42-AB42-AA42-Z42</f>
        <v>137505.89999999991</v>
      </c>
      <c r="AH42" s="219">
        <f>IF(SUM(Z7,AA7,AB7,AC7,AD7,AE7,AF7,AG7,AH7)-SUM(Z15,AA15,AB15,AC15,AD15,AE15,AF15,AG15,AH15)-SUM(Z29,AA29,AB29,AC29,AD29,AE29,AF29,AG29,AH29)&lt;0,SUM(Z7,AA7,AB7,AC7,AD7,AE7,AF7,AG7,AH7)*0.01,(SUM(Z7,AA7,AB7,AC7,AD7,AE7,AF7,AG7,AH7)-SUM(Z15,AA15,AB15,AC15,AD15,AE15,AF15,AG15,AH15)-SUM(Z29,AA29,AB29,AC29,AD29,AE29,AF29,AG29,AH29))*'Исходные данные'!$F$43)-AG42-AF42-AE42-AD42-AC42-AB42-AA42-Z42</f>
        <v>147802.65000000002</v>
      </c>
      <c r="AI42" s="219">
        <f>IF(SUM(Z7,AA7,AB7,AC7,AD7,AE7,AF7,AG7,AH7,AI7)-SUM(Z15,AA15,AB15,AC15,AD15,AE15,AF15,AG15,AH15,AI15)-SUM(Z29,AA29,AB29,AC29,AD29,AE29,AF29,AG29,AH29,AI29)&lt;0,SUM(Z7,AA7,AB7,AC7,AD7,AE7,AF7,AG7,AH7,AI7)*0.01,(SUM(Z7,AA7,AB7,AC7,AD7,AE7,AF7,AG7,AH7,AI7)-SUM(Z15,AA15,AB15,AC15,AD15,AE15,AF15,AG15,AH15,AI15)-SUM(Z29,AA29,AB29,AC29,AD29,AE29,AF29,AG29,AH29,AI29))*'Исходные данные'!$F$43)-AH42-AG42-AF42-AE42-AD42-AC42-AB42-AA42-Z42</f>
        <v>146065.80000000016</v>
      </c>
      <c r="AJ42" s="219">
        <f>IF(SUM(Z7,AA7,AB7,AC7,AD7,AE7,AF7,AG7,AH7,AI7,AJ7)-SUM(Z15,AA15,AB15,AC15,AD15,AE15,AF15,AG15,AH15,AI15,AJ15)-SUM(Z29,AA29,AB29,AC29,AD29,AE29,AF29,AG29,AH29,AI29,AJ29)&lt;0,SUM(Z7,AA7,AB7,AC7,AD7,AE7,AF7,AG7,AH7,AI7,AJ7)*0.01,(SUM(Z17,AA7,AB7,AC7,AD7,AE7,AF7,AG7,AH7,AI7,AJ7)-SUM(Z15,AA15,AB15,AC15,AD15,AE15,AF15,AG15,AH15,AI15,AJ15)-SUM(Z29,AA29,AB29,AC29,AD29,AE29,AF29,AG29,AH29,AI29,AJ29))*'Исходные данные'!$F$43)-AI42-AH42-AG42-AF42-AE42-AD42-AC42-AB42-AA42-Z42</f>
        <v>-114430.05000000013</v>
      </c>
      <c r="AK42" s="220">
        <f>IF(SUM(Z7,AA7,AB7,AC7,AD7,AE7,AF7,AG7,AH7,AI7,AJ7,AK7)-SUM(Z15,AA15,AB15,AC15,AD15,AE15,AF15,AG15,AH15,AI15,AJ15,AK15)-SUM(Z29,AA29,AB29,AC29,AD29,AE29,AF29,AG29,AH29,AI29,AJ29,AK29)&lt;0,SUM(Z7,AA7,AB7,AC7,AD7,AE7,AF7,AG7,AH7,AI7,AJ7,AK7)*0.01,(SUM(Z7,AA7,AB7,AC7,AD7,AE7,AF7,AG7,AH7,AI7,AJ7,AK7)-SUM(Z15,AA15,AB15,AC15,AD15,AE15,AF15,AG15,AH15,AI15,AJ15,AK15)-SUM(Z29,AA29,AB29,AC29,AD29,AE29,AF29,AG29,AH29,AI29,AJ29,AK29))*'Исходные данные'!$F$43)-AJ42-AI42-AH42-AG42-AF42-AE42-AD42-AC42-AB42-AA42-Z42</f>
        <v>438378.44999999995</v>
      </c>
    </row>
    <row r="43" spans="1:37" x14ac:dyDescent="0.25">
      <c r="A43" s="41" t="s">
        <v>267</v>
      </c>
      <c r="B43" s="221">
        <f>B41-B42</f>
        <v>-301600</v>
      </c>
      <c r="C43" s="221">
        <f t="shared" ref="C43:AK43" si="10">C41-C42</f>
        <v>-352978</v>
      </c>
      <c r="D43" s="221">
        <f t="shared" si="10"/>
        <v>-113497</v>
      </c>
      <c r="E43" s="221">
        <f t="shared" si="10"/>
        <v>-162224</v>
      </c>
      <c r="F43" s="221">
        <f t="shared" si="10"/>
        <v>-69475</v>
      </c>
      <c r="G43" s="221">
        <f t="shared" si="10"/>
        <v>-55360</v>
      </c>
      <c r="H43" s="221">
        <f t="shared" si="10"/>
        <v>-115194</v>
      </c>
      <c r="I43" s="221">
        <f t="shared" si="10"/>
        <v>-106849</v>
      </c>
      <c r="J43" s="219">
        <f t="shared" si="10"/>
        <v>6118</v>
      </c>
      <c r="K43" s="221">
        <f t="shared" si="10"/>
        <v>-148233</v>
      </c>
      <c r="L43" s="221">
        <f t="shared" si="10"/>
        <v>-240593</v>
      </c>
      <c r="M43" s="220">
        <f t="shared" si="10"/>
        <v>-163386</v>
      </c>
      <c r="N43" s="221">
        <f t="shared" si="10"/>
        <v>26521.55</v>
      </c>
      <c r="O43" s="221">
        <f t="shared" si="10"/>
        <v>-107492.59999999999</v>
      </c>
      <c r="P43" s="221">
        <f t="shared" si="10"/>
        <v>14116.899999999994</v>
      </c>
      <c r="Q43" s="221">
        <f t="shared" si="10"/>
        <v>151199.5</v>
      </c>
      <c r="R43" s="221">
        <f t="shared" si="10"/>
        <v>203082.75</v>
      </c>
      <c r="S43" s="221">
        <f t="shared" si="10"/>
        <v>139273.60000000001</v>
      </c>
      <c r="T43" s="221">
        <f t="shared" si="10"/>
        <v>120405.24999999997</v>
      </c>
      <c r="U43" s="221">
        <f t="shared" si="10"/>
        <v>180354.30000000002</v>
      </c>
      <c r="V43" s="221">
        <f t="shared" si="10"/>
        <v>211498.9</v>
      </c>
      <c r="W43" s="221">
        <f t="shared" si="10"/>
        <v>102048.4</v>
      </c>
      <c r="X43" s="221">
        <f t="shared" si="10"/>
        <v>344543.24999999994</v>
      </c>
      <c r="Y43" s="220">
        <f t="shared" si="10"/>
        <v>37865.099999999948</v>
      </c>
      <c r="Z43" s="221">
        <f t="shared" si="10"/>
        <v>371625.35</v>
      </c>
      <c r="AA43" s="221">
        <f t="shared" si="10"/>
        <v>234644.85</v>
      </c>
      <c r="AB43" s="221">
        <f t="shared" si="10"/>
        <v>274427.7</v>
      </c>
      <c r="AC43" s="221">
        <f t="shared" si="10"/>
        <v>466509.94999999995</v>
      </c>
      <c r="AD43" s="221">
        <f t="shared" si="10"/>
        <v>487477.55000000005</v>
      </c>
      <c r="AE43" s="221">
        <f t="shared" si="10"/>
        <v>446077.4</v>
      </c>
      <c r="AF43" s="221">
        <f t="shared" si="10"/>
        <v>425084.04999999993</v>
      </c>
      <c r="AG43" s="221">
        <f t="shared" si="10"/>
        <v>504608.10000000009</v>
      </c>
      <c r="AH43" s="221">
        <f t="shared" si="10"/>
        <v>536748.35</v>
      </c>
      <c r="AI43" s="221">
        <f t="shared" si="10"/>
        <v>422902.19999999984</v>
      </c>
      <c r="AJ43" s="221">
        <f t="shared" si="10"/>
        <v>793973.05000000016</v>
      </c>
      <c r="AK43" s="220">
        <f t="shared" si="10"/>
        <v>223508.55000000005</v>
      </c>
    </row>
    <row r="44" spans="1:37" s="186" customFormat="1" x14ac:dyDescent="0.25">
      <c r="A44" s="218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20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20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20"/>
    </row>
    <row r="45" spans="1:37" x14ac:dyDescent="0.25">
      <c r="A45" s="41" t="s">
        <v>268</v>
      </c>
      <c r="B45" s="221">
        <f>B43</f>
        <v>-301600</v>
      </c>
      <c r="C45" s="221">
        <f t="shared" ref="C45:AK45" si="11">C43+B45</f>
        <v>-654578</v>
      </c>
      <c r="D45" s="221">
        <f t="shared" si="11"/>
        <v>-768075</v>
      </c>
      <c r="E45" s="221">
        <f t="shared" si="11"/>
        <v>-930299</v>
      </c>
      <c r="F45" s="221">
        <f t="shared" si="11"/>
        <v>-999774</v>
      </c>
      <c r="G45" s="221">
        <f t="shared" si="11"/>
        <v>-1055134</v>
      </c>
      <c r="H45" s="221">
        <f t="shared" si="11"/>
        <v>-1170328</v>
      </c>
      <c r="I45" s="221">
        <f t="shared" si="11"/>
        <v>-1277177</v>
      </c>
      <c r="J45" s="219">
        <f t="shared" si="11"/>
        <v>-1271059</v>
      </c>
      <c r="K45" s="221">
        <f t="shared" si="11"/>
        <v>-1419292</v>
      </c>
      <c r="L45" s="221">
        <f t="shared" si="11"/>
        <v>-1659885</v>
      </c>
      <c r="M45" s="220">
        <f t="shared" si="11"/>
        <v>-1823271</v>
      </c>
      <c r="N45" s="221">
        <f t="shared" si="11"/>
        <v>-1796749.45</v>
      </c>
      <c r="O45" s="221">
        <f t="shared" si="11"/>
        <v>-1904242.05</v>
      </c>
      <c r="P45" s="221">
        <f t="shared" si="11"/>
        <v>-1890125.1500000001</v>
      </c>
      <c r="Q45" s="221">
        <f t="shared" si="11"/>
        <v>-1738925.6500000001</v>
      </c>
      <c r="R45" s="221">
        <f t="shared" si="11"/>
        <v>-1535842.9000000001</v>
      </c>
      <c r="S45" s="221">
        <f t="shared" si="11"/>
        <v>-1396569.3</v>
      </c>
      <c r="T45" s="221">
        <f t="shared" si="11"/>
        <v>-1276164.05</v>
      </c>
      <c r="U45" s="221">
        <f t="shared" si="11"/>
        <v>-1095809.75</v>
      </c>
      <c r="V45" s="221">
        <f t="shared" si="11"/>
        <v>-884310.85</v>
      </c>
      <c r="W45" s="221">
        <f t="shared" si="11"/>
        <v>-782262.45</v>
      </c>
      <c r="X45" s="221">
        <f t="shared" si="11"/>
        <v>-437719.2</v>
      </c>
      <c r="Y45" s="220">
        <f t="shared" si="11"/>
        <v>-399854.10000000009</v>
      </c>
      <c r="Z45" s="221">
        <f t="shared" si="11"/>
        <v>-28228.750000000116</v>
      </c>
      <c r="AA45" s="221">
        <f t="shared" si="11"/>
        <v>206416.09999999989</v>
      </c>
      <c r="AB45" s="221">
        <f t="shared" si="11"/>
        <v>480843.79999999993</v>
      </c>
      <c r="AC45" s="221">
        <f t="shared" si="11"/>
        <v>947353.74999999988</v>
      </c>
      <c r="AD45" s="221">
        <f t="shared" si="11"/>
        <v>1434831.2999999998</v>
      </c>
      <c r="AE45" s="221">
        <f t="shared" si="11"/>
        <v>1880908.6999999997</v>
      </c>
      <c r="AF45" s="221">
        <f t="shared" si="11"/>
        <v>2305992.7499999995</v>
      </c>
      <c r="AG45" s="221">
        <f t="shared" si="11"/>
        <v>2810600.8499999996</v>
      </c>
      <c r="AH45" s="221">
        <f t="shared" si="11"/>
        <v>3347349.1999999997</v>
      </c>
      <c r="AI45" s="221">
        <f t="shared" si="11"/>
        <v>3770251.3999999994</v>
      </c>
      <c r="AJ45" s="221">
        <f t="shared" si="11"/>
        <v>4564224.4499999993</v>
      </c>
      <c r="AK45" s="220">
        <f t="shared" si="11"/>
        <v>4787732.9999999991</v>
      </c>
    </row>
    <row r="46" spans="1:37" ht="3.75" customHeight="1" x14ac:dyDescent="0.25">
      <c r="A46" s="41"/>
      <c r="B46" s="35"/>
      <c r="C46" s="35"/>
      <c r="D46" s="35"/>
      <c r="E46" s="35"/>
      <c r="F46" s="35"/>
      <c r="G46" s="35"/>
      <c r="H46" s="35"/>
      <c r="I46" s="35"/>
      <c r="J46" s="5"/>
      <c r="K46" s="35"/>
      <c r="L46" s="35"/>
      <c r="M46" s="201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201"/>
      <c r="AK46" s="201"/>
    </row>
    <row r="47" spans="1:37" x14ac:dyDescent="0.25">
      <c r="A47" s="41" t="s">
        <v>269</v>
      </c>
      <c r="B47" s="43" t="e">
        <f t="shared" ref="B47:AK47" si="12">B43/B7</f>
        <v>#DIV/0!</v>
      </c>
      <c r="C47" s="43">
        <f t="shared" si="12"/>
        <v>-3.6768541666666668</v>
      </c>
      <c r="D47" s="43">
        <f t="shared" si="12"/>
        <v>-0.80153248587570625</v>
      </c>
      <c r="E47" s="43">
        <f t="shared" si="12"/>
        <v>-0.89527593818984552</v>
      </c>
      <c r="F47" s="43">
        <f t="shared" si="12"/>
        <v>-0.31465126811594202</v>
      </c>
      <c r="G47" s="43">
        <f t="shared" si="12"/>
        <v>-0.21259600614439325</v>
      </c>
      <c r="H47" s="43">
        <f t="shared" si="12"/>
        <v>-0.37063706563706561</v>
      </c>
      <c r="I47" s="43">
        <f t="shared" si="12"/>
        <v>-0.2835695329087049</v>
      </c>
      <c r="J47" s="6">
        <f t="shared" si="12"/>
        <v>1.3816621499548329E-2</v>
      </c>
      <c r="K47" s="43">
        <f t="shared" si="12"/>
        <v>-0.26679805615550756</v>
      </c>
      <c r="L47" s="43">
        <f t="shared" si="12"/>
        <v>-0.34990255962769051</v>
      </c>
      <c r="M47" s="222">
        <f t="shared" si="12"/>
        <v>-0.20261160714285714</v>
      </c>
      <c r="N47" s="43">
        <f t="shared" si="12"/>
        <v>3.0193021402550091E-2</v>
      </c>
      <c r="O47" s="43">
        <f t="shared" si="12"/>
        <v>-0.10844693301049232</v>
      </c>
      <c r="P47" s="43">
        <f t="shared" si="12"/>
        <v>1.2568465099715095E-2</v>
      </c>
      <c r="Q47" s="43">
        <f t="shared" si="12"/>
        <v>0.127918358714044</v>
      </c>
      <c r="R47" s="43">
        <f t="shared" si="12"/>
        <v>0.1627265625</v>
      </c>
      <c r="S47" s="43">
        <f t="shared" si="12"/>
        <v>0.11001074249605056</v>
      </c>
      <c r="T47" s="43">
        <f t="shared" si="12"/>
        <v>9.4125429956222612E-2</v>
      </c>
      <c r="U47" s="43">
        <f t="shared" si="12"/>
        <v>0.13455259623992838</v>
      </c>
      <c r="V47" s="43">
        <f t="shared" si="12"/>
        <v>0.15180799598047659</v>
      </c>
      <c r="W47" s="43">
        <f t="shared" si="12"/>
        <v>6.7172459189046865E-2</v>
      </c>
      <c r="X47" s="43">
        <f t="shared" si="12"/>
        <v>0.21034386446886444</v>
      </c>
      <c r="Y47" s="222">
        <f t="shared" si="12"/>
        <v>2.1553449453551882E-2</v>
      </c>
      <c r="Z47" s="43">
        <f t="shared" si="12"/>
        <v>0.20320721237970252</v>
      </c>
      <c r="AA47" s="43">
        <f t="shared" si="12"/>
        <v>0.12003522099447514</v>
      </c>
      <c r="AB47" s="43">
        <f t="shared" si="12"/>
        <v>0.13234360532407408</v>
      </c>
      <c r="AC47" s="43">
        <f t="shared" si="12"/>
        <v>0.21742633762117822</v>
      </c>
      <c r="AD47" s="43">
        <f t="shared" si="12"/>
        <v>0.22174197143377003</v>
      </c>
      <c r="AE47" s="43">
        <f t="shared" si="12"/>
        <v>0.20126213679841184</v>
      </c>
      <c r="AF47" s="43">
        <f t="shared" si="12"/>
        <v>0.19065484840330102</v>
      </c>
      <c r="AG47" s="43">
        <f t="shared" si="12"/>
        <v>0.2202759298061813</v>
      </c>
      <c r="AH47" s="43">
        <f t="shared" si="12"/>
        <v>0.22774454769178545</v>
      </c>
      <c r="AI47" s="43">
        <f t="shared" si="12"/>
        <v>0.17124319727891149</v>
      </c>
      <c r="AJ47" s="43">
        <f t="shared" si="12"/>
        <v>0.30674279477669608</v>
      </c>
      <c r="AK47" s="222">
        <f t="shared" si="12"/>
        <v>8.216017865019852E-2</v>
      </c>
    </row>
  </sheetData>
  <sheetProtection password="CA41" sheet="1" objects="1" scenarios="1"/>
  <protectedRanges>
    <protectedRange sqref="B21:AK23" name="Диапазон1"/>
  </protectedRanges>
  <conditionalFormatting sqref="B32:AK32">
    <cfRule type="cellIs" dxfId="0" priority="2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1" sqref="D11"/>
    </sheetView>
  </sheetViews>
  <sheetFormatPr defaultRowHeight="13.5" outlineLevelRow="1" x14ac:dyDescent="0.25"/>
  <cols>
    <col min="1" max="1" width="36.5703125" style="47" customWidth="1"/>
    <col min="2" max="2" width="14" style="149" bestFit="1" customWidth="1"/>
    <col min="3" max="3" width="12.7109375" style="123" customWidth="1"/>
    <col min="4" max="4" width="13" style="123" customWidth="1"/>
    <col min="5" max="5" width="12.5703125" style="123" customWidth="1"/>
    <col min="6" max="6" width="12.85546875" style="123" customWidth="1"/>
    <col min="7" max="10" width="14" style="123" bestFit="1" customWidth="1"/>
    <col min="11" max="11" width="13.5703125" style="123" customWidth="1"/>
    <col min="12" max="12" width="13" style="123" customWidth="1"/>
    <col min="13" max="13" width="14" style="123" bestFit="1" customWidth="1"/>
    <col min="14" max="14" width="14" style="149" bestFit="1" customWidth="1"/>
    <col min="15" max="15" width="13.42578125" style="123" customWidth="1"/>
    <col min="16" max="16" width="13.140625" style="123" customWidth="1"/>
    <col min="17" max="19" width="14" style="123" bestFit="1" customWidth="1"/>
    <col min="20" max="20" width="13.42578125" style="123" customWidth="1"/>
    <col min="21" max="22" width="13.5703125" style="123" customWidth="1"/>
    <col min="23" max="23" width="14" style="123" customWidth="1"/>
    <col min="24" max="24" width="13.85546875" style="123" customWidth="1"/>
    <col min="25" max="25" width="13.28515625" style="123" customWidth="1"/>
    <col min="26" max="26" width="13" style="149" bestFit="1" customWidth="1"/>
    <col min="27" max="32" width="12.7109375" style="123" bestFit="1" customWidth="1"/>
    <col min="33" max="34" width="13" style="123" bestFit="1" customWidth="1"/>
    <col min="35" max="35" width="12.140625" style="123" customWidth="1"/>
    <col min="36" max="36" width="13" style="123" bestFit="1" customWidth="1"/>
    <col min="37" max="37" width="12.28515625" style="123" customWidth="1"/>
    <col min="38" max="16384" width="9.140625" style="48"/>
  </cols>
  <sheetData>
    <row r="1" spans="1:37" s="183" customFormat="1" ht="27" x14ac:dyDescent="0.25">
      <c r="A1" s="140" t="s">
        <v>270</v>
      </c>
      <c r="B1" s="148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48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48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1:37" x14ac:dyDescent="0.25">
      <c r="A2" s="140"/>
    </row>
    <row r="3" spans="1:37" x14ac:dyDescent="0.25">
      <c r="B3" s="1" t="s">
        <v>162</v>
      </c>
      <c r="C3" s="14" t="s">
        <v>163</v>
      </c>
      <c r="D3" s="14" t="s">
        <v>164</v>
      </c>
      <c r="E3" s="14" t="s">
        <v>165</v>
      </c>
      <c r="F3" s="14" t="s">
        <v>166</v>
      </c>
      <c r="G3" s="14" t="s">
        <v>167</v>
      </c>
      <c r="H3" s="14" t="s">
        <v>168</v>
      </c>
      <c r="I3" s="14" t="s">
        <v>169</v>
      </c>
      <c r="J3" s="14" t="s">
        <v>170</v>
      </c>
      <c r="K3" s="14" t="s">
        <v>171</v>
      </c>
      <c r="L3" s="14" t="s">
        <v>172</v>
      </c>
      <c r="M3" s="14" t="s">
        <v>173</v>
      </c>
      <c r="N3" s="1" t="s">
        <v>162</v>
      </c>
      <c r="O3" s="14" t="s">
        <v>163</v>
      </c>
      <c r="P3" s="14" t="s">
        <v>164</v>
      </c>
      <c r="Q3" s="14" t="s">
        <v>165</v>
      </c>
      <c r="R3" s="14" t="s">
        <v>166</v>
      </c>
      <c r="S3" s="14" t="s">
        <v>167</v>
      </c>
      <c r="T3" s="14" t="s">
        <v>168</v>
      </c>
      <c r="U3" s="14" t="s">
        <v>169</v>
      </c>
      <c r="V3" s="14" t="s">
        <v>170</v>
      </c>
      <c r="W3" s="14" t="s">
        <v>171</v>
      </c>
      <c r="X3" s="14" t="s">
        <v>172</v>
      </c>
      <c r="Y3" s="14" t="s">
        <v>173</v>
      </c>
      <c r="Z3" s="1" t="s">
        <v>162</v>
      </c>
      <c r="AA3" s="14" t="s">
        <v>163</v>
      </c>
      <c r="AB3" s="14" t="s">
        <v>164</v>
      </c>
      <c r="AC3" s="14" t="s">
        <v>165</v>
      </c>
      <c r="AD3" s="14" t="s">
        <v>166</v>
      </c>
      <c r="AE3" s="14" t="s">
        <v>167</v>
      </c>
      <c r="AF3" s="14" t="s">
        <v>168</v>
      </c>
      <c r="AG3" s="14" t="s">
        <v>169</v>
      </c>
      <c r="AH3" s="14" t="s">
        <v>170</v>
      </c>
      <c r="AI3" s="14" t="s">
        <v>171</v>
      </c>
      <c r="AJ3" s="14" t="s">
        <v>172</v>
      </c>
      <c r="AK3" s="14" t="s">
        <v>173</v>
      </c>
    </row>
    <row r="4" spans="1:37" x14ac:dyDescent="0.25">
      <c r="A4" s="68" t="s">
        <v>125</v>
      </c>
      <c r="B4" s="1" t="s">
        <v>126</v>
      </c>
      <c r="C4" s="14" t="s">
        <v>127</v>
      </c>
      <c r="D4" s="14" t="s">
        <v>128</v>
      </c>
      <c r="E4" s="14" t="s">
        <v>129</v>
      </c>
      <c r="F4" s="14" t="s">
        <v>130</v>
      </c>
      <c r="G4" s="14" t="s">
        <v>131</v>
      </c>
      <c r="H4" s="14" t="s">
        <v>132</v>
      </c>
      <c r="I4" s="14" t="s">
        <v>133</v>
      </c>
      <c r="J4" s="14" t="s">
        <v>134</v>
      </c>
      <c r="K4" s="14" t="s">
        <v>135</v>
      </c>
      <c r="L4" s="14" t="s">
        <v>136</v>
      </c>
      <c r="M4" s="14" t="s">
        <v>137</v>
      </c>
      <c r="N4" s="1" t="s">
        <v>138</v>
      </c>
      <c r="O4" s="14" t="s">
        <v>139</v>
      </c>
      <c r="P4" s="14" t="s">
        <v>140</v>
      </c>
      <c r="Q4" s="14" t="s">
        <v>141</v>
      </c>
      <c r="R4" s="14" t="s">
        <v>142</v>
      </c>
      <c r="S4" s="14" t="s">
        <v>143</v>
      </c>
      <c r="T4" s="14" t="s">
        <v>144</v>
      </c>
      <c r="U4" s="14" t="s">
        <v>145</v>
      </c>
      <c r="V4" s="14" t="s">
        <v>146</v>
      </c>
      <c r="W4" s="14" t="s">
        <v>147</v>
      </c>
      <c r="X4" s="14" t="s">
        <v>148</v>
      </c>
      <c r="Y4" s="14" t="s">
        <v>149</v>
      </c>
      <c r="Z4" s="1" t="s">
        <v>150</v>
      </c>
      <c r="AA4" s="14" t="s">
        <v>151</v>
      </c>
      <c r="AB4" s="14" t="s">
        <v>152</v>
      </c>
      <c r="AC4" s="14" t="s">
        <v>153</v>
      </c>
      <c r="AD4" s="14" t="s">
        <v>154</v>
      </c>
      <c r="AE4" s="14" t="s">
        <v>155</v>
      </c>
      <c r="AF4" s="14" t="s">
        <v>156</v>
      </c>
      <c r="AG4" s="14" t="s">
        <v>157</v>
      </c>
      <c r="AH4" s="14" t="s">
        <v>158</v>
      </c>
      <c r="AI4" s="14" t="s">
        <v>159</v>
      </c>
      <c r="AJ4" s="14" t="s">
        <v>160</v>
      </c>
      <c r="AK4" s="14" t="s">
        <v>161</v>
      </c>
    </row>
    <row r="5" spans="1:37" s="182" customFormat="1" ht="27" outlineLevel="1" x14ac:dyDescent="0.25">
      <c r="A5" s="150" t="s">
        <v>271</v>
      </c>
      <c r="B5" s="151"/>
      <c r="C5" s="2">
        <f>B39</f>
        <v>-196100</v>
      </c>
      <c r="D5" s="2">
        <f t="shared" ref="D5:AK5" si="0">C39</f>
        <v>-458134</v>
      </c>
      <c r="E5" s="2">
        <f t="shared" si="0"/>
        <v>-603514</v>
      </c>
      <c r="F5" s="2">
        <f t="shared" si="0"/>
        <v>-748364</v>
      </c>
      <c r="G5" s="2">
        <f t="shared" si="0"/>
        <v>-820544</v>
      </c>
      <c r="H5" s="2">
        <f t="shared" si="0"/>
        <v>-869228</v>
      </c>
      <c r="I5" s="2">
        <f t="shared" si="0"/>
        <v>-951470</v>
      </c>
      <c r="J5" s="2">
        <f t="shared" si="0"/>
        <v>-1041460</v>
      </c>
      <c r="K5" s="2">
        <f t="shared" si="0"/>
        <v>-1044504</v>
      </c>
      <c r="L5" s="2">
        <f t="shared" si="0"/>
        <v>-1099024</v>
      </c>
      <c r="M5" s="2">
        <f t="shared" si="0"/>
        <v>-1256254</v>
      </c>
      <c r="N5" s="152">
        <f t="shared" si="0"/>
        <v>-1391530</v>
      </c>
      <c r="O5" s="2">
        <f t="shared" si="0"/>
        <v>-1367970</v>
      </c>
      <c r="P5" s="2">
        <f t="shared" si="0"/>
        <v>-1380170</v>
      </c>
      <c r="Q5" s="2">
        <f t="shared" si="0"/>
        <v>-1404781.15</v>
      </c>
      <c r="R5" s="2">
        <f t="shared" si="0"/>
        <v>-1230261.1499999999</v>
      </c>
      <c r="S5" s="2">
        <f t="shared" si="0"/>
        <v>-972061.14999999991</v>
      </c>
      <c r="T5" s="2">
        <f t="shared" si="0"/>
        <v>-951470.29999999981</v>
      </c>
      <c r="U5" s="2">
        <f t="shared" si="0"/>
        <v>-760260.29999999981</v>
      </c>
      <c r="V5" s="2">
        <f t="shared" si="0"/>
        <v>-493964.29999999981</v>
      </c>
      <c r="W5" s="2">
        <f t="shared" si="0"/>
        <v>-403336.84999999986</v>
      </c>
      <c r="X5" s="2">
        <f t="shared" si="0"/>
        <v>-159476.84999999986</v>
      </c>
      <c r="Y5" s="2">
        <f t="shared" si="0"/>
        <v>142313.15000000014</v>
      </c>
      <c r="Z5" s="152">
        <f t="shared" si="0"/>
        <v>195572.90000000014</v>
      </c>
      <c r="AA5" s="2">
        <f t="shared" si="0"/>
        <v>637512.90000000014</v>
      </c>
      <c r="AB5" s="2">
        <f t="shared" si="0"/>
        <v>1059692.9000000004</v>
      </c>
      <c r="AC5" s="2">
        <f t="shared" si="0"/>
        <v>1152952.8000000003</v>
      </c>
      <c r="AD5" s="2">
        <f t="shared" si="0"/>
        <v>1708352.8000000003</v>
      </c>
      <c r="AE5" s="2">
        <f t="shared" si="0"/>
        <v>2340972.8000000003</v>
      </c>
      <c r="AF5" s="2">
        <f t="shared" si="0"/>
        <v>2520519.7000000011</v>
      </c>
      <c r="AG5" s="2">
        <f t="shared" si="0"/>
        <v>3081609.7000000011</v>
      </c>
      <c r="AH5" s="2">
        <f t="shared" si="0"/>
        <v>3728785.7000000011</v>
      </c>
      <c r="AI5" s="2">
        <f t="shared" si="0"/>
        <v>4003194.2000000011</v>
      </c>
      <c r="AJ5" s="2">
        <f t="shared" si="0"/>
        <v>4637974.2000000011</v>
      </c>
      <c r="AK5" s="2">
        <f t="shared" si="0"/>
        <v>5340144.2000000011</v>
      </c>
    </row>
    <row r="6" spans="1:37" s="182" customFormat="1" outlineLevel="1" x14ac:dyDescent="0.25">
      <c r="A6" s="168"/>
      <c r="B6" s="15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5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5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182" customFormat="1" ht="27" x14ac:dyDescent="0.25">
      <c r="A7" s="150" t="s">
        <v>272</v>
      </c>
      <c r="B7" s="151">
        <f>B9+B13+B14</f>
        <v>0</v>
      </c>
      <c r="C7" s="2">
        <f t="shared" ref="C7:AK7" si="1">C9+C13+C14</f>
        <v>96000</v>
      </c>
      <c r="D7" s="2">
        <f t="shared" si="1"/>
        <v>132000</v>
      </c>
      <c r="E7" s="2">
        <f t="shared" si="1"/>
        <v>177600</v>
      </c>
      <c r="F7" s="2">
        <f t="shared" si="1"/>
        <v>217200</v>
      </c>
      <c r="G7" s="2">
        <f t="shared" si="1"/>
        <v>256800</v>
      </c>
      <c r="H7" s="2">
        <f t="shared" si="1"/>
        <v>308400</v>
      </c>
      <c r="I7" s="2">
        <f t="shared" si="1"/>
        <v>370800</v>
      </c>
      <c r="J7" s="2">
        <f t="shared" si="1"/>
        <v>436800</v>
      </c>
      <c r="K7" s="2">
        <f t="shared" si="1"/>
        <v>550800</v>
      </c>
      <c r="L7" s="2">
        <f t="shared" si="1"/>
        <v>675600</v>
      </c>
      <c r="M7" s="2">
        <f t="shared" si="1"/>
        <v>795600</v>
      </c>
      <c r="N7" s="152">
        <f t="shared" si="1"/>
        <v>866400</v>
      </c>
      <c r="O7" s="2">
        <f t="shared" si="1"/>
        <v>986400</v>
      </c>
      <c r="P7" s="2">
        <f t="shared" si="1"/>
        <v>1111200</v>
      </c>
      <c r="Q7" s="2">
        <f t="shared" si="1"/>
        <v>1171200</v>
      </c>
      <c r="R7" s="2">
        <f t="shared" si="1"/>
        <v>1242000</v>
      </c>
      <c r="S7" s="2">
        <f t="shared" si="1"/>
        <v>1260000</v>
      </c>
      <c r="T7" s="2">
        <f t="shared" si="1"/>
        <v>1278000</v>
      </c>
      <c r="U7" s="2">
        <f t="shared" si="1"/>
        <v>1339200</v>
      </c>
      <c r="V7" s="2">
        <f t="shared" si="1"/>
        <v>1388400</v>
      </c>
      <c r="W7" s="2">
        <f t="shared" si="1"/>
        <v>1513200</v>
      </c>
      <c r="X7" s="2">
        <f t="shared" si="1"/>
        <v>1627200</v>
      </c>
      <c r="Y7" s="2">
        <f t="shared" si="1"/>
        <v>1746000</v>
      </c>
      <c r="Z7" s="152">
        <f t="shared" si="1"/>
        <v>1816800</v>
      </c>
      <c r="AA7" s="2">
        <f t="shared" si="1"/>
        <v>1948800</v>
      </c>
      <c r="AB7" s="2">
        <f t="shared" si="1"/>
        <v>2062800</v>
      </c>
      <c r="AC7" s="2">
        <f t="shared" si="1"/>
        <v>2133600</v>
      </c>
      <c r="AD7" s="2">
        <f t="shared" si="1"/>
        <v>2193600</v>
      </c>
      <c r="AE7" s="2">
        <f t="shared" si="1"/>
        <v>2210400</v>
      </c>
      <c r="AF7" s="2">
        <f t="shared" si="1"/>
        <v>2228400</v>
      </c>
      <c r="AG7" s="2">
        <f t="shared" si="1"/>
        <v>2289600</v>
      </c>
      <c r="AH7" s="2">
        <f t="shared" si="1"/>
        <v>2350800</v>
      </c>
      <c r="AI7" s="2">
        <f t="shared" si="1"/>
        <v>2464800</v>
      </c>
      <c r="AJ7" s="2">
        <f t="shared" si="1"/>
        <v>2577600</v>
      </c>
      <c r="AK7" s="2">
        <f t="shared" si="1"/>
        <v>2708400</v>
      </c>
    </row>
    <row r="8" spans="1:37" s="223" customFormat="1" x14ac:dyDescent="0.25">
      <c r="A8" s="168" t="s">
        <v>273</v>
      </c>
      <c r="B8" s="15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5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5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182" customFormat="1" outlineLevel="1" x14ac:dyDescent="0.25">
      <c r="A9" s="168" t="s">
        <v>274</v>
      </c>
      <c r="B9" s="151">
        <f>SUM(B10:B12)</f>
        <v>0</v>
      </c>
      <c r="C9" s="2">
        <f t="shared" ref="C9:AK9" si="2">SUM(C10:C12)</f>
        <v>-12000</v>
      </c>
      <c r="D9" s="2">
        <f t="shared" si="2"/>
        <v>96000</v>
      </c>
      <c r="E9" s="2">
        <f t="shared" si="2"/>
        <v>141600</v>
      </c>
      <c r="F9" s="2">
        <f t="shared" si="2"/>
        <v>181200</v>
      </c>
      <c r="G9" s="2">
        <f t="shared" si="2"/>
        <v>220800</v>
      </c>
      <c r="H9" s="2">
        <f t="shared" si="2"/>
        <v>248400</v>
      </c>
      <c r="I9" s="2">
        <f t="shared" si="2"/>
        <v>310800</v>
      </c>
      <c r="J9" s="2">
        <f t="shared" si="2"/>
        <v>376800</v>
      </c>
      <c r="K9" s="2">
        <f t="shared" si="2"/>
        <v>430800</v>
      </c>
      <c r="L9" s="2">
        <f t="shared" si="2"/>
        <v>555600</v>
      </c>
      <c r="M9" s="2">
        <f t="shared" si="2"/>
        <v>675600</v>
      </c>
      <c r="N9" s="152">
        <f t="shared" si="2"/>
        <v>806400</v>
      </c>
      <c r="O9" s="2">
        <f t="shared" si="2"/>
        <v>866400</v>
      </c>
      <c r="P9" s="2">
        <f t="shared" si="2"/>
        <v>991200</v>
      </c>
      <c r="Q9" s="2">
        <f t="shared" si="2"/>
        <v>1111200</v>
      </c>
      <c r="R9" s="2">
        <f t="shared" si="2"/>
        <v>1182000</v>
      </c>
      <c r="S9" s="2">
        <f t="shared" si="2"/>
        <v>1248000</v>
      </c>
      <c r="T9" s="2">
        <f t="shared" si="2"/>
        <v>1266000</v>
      </c>
      <c r="U9" s="2">
        <f t="shared" si="2"/>
        <v>1279200</v>
      </c>
      <c r="V9" s="2">
        <f t="shared" si="2"/>
        <v>1328400</v>
      </c>
      <c r="W9" s="2">
        <f t="shared" si="2"/>
        <v>1393200</v>
      </c>
      <c r="X9" s="2">
        <f t="shared" si="2"/>
        <v>1507200</v>
      </c>
      <c r="Y9" s="2">
        <f t="shared" si="2"/>
        <v>1626000</v>
      </c>
      <c r="Z9" s="152">
        <f t="shared" si="2"/>
        <v>1756800</v>
      </c>
      <c r="AA9" s="2">
        <f t="shared" si="2"/>
        <v>1828800</v>
      </c>
      <c r="AB9" s="2">
        <f t="shared" si="2"/>
        <v>1942800</v>
      </c>
      <c r="AC9" s="2">
        <f t="shared" si="2"/>
        <v>2073600</v>
      </c>
      <c r="AD9" s="2">
        <f t="shared" si="2"/>
        <v>2133600</v>
      </c>
      <c r="AE9" s="2">
        <f t="shared" si="2"/>
        <v>2198400</v>
      </c>
      <c r="AF9" s="2">
        <f t="shared" si="2"/>
        <v>2216400</v>
      </c>
      <c r="AG9" s="2">
        <f t="shared" si="2"/>
        <v>2229600</v>
      </c>
      <c r="AH9" s="2">
        <f t="shared" si="2"/>
        <v>2290800</v>
      </c>
      <c r="AI9" s="2">
        <f t="shared" si="2"/>
        <v>2344800</v>
      </c>
      <c r="AJ9" s="2">
        <f t="shared" si="2"/>
        <v>2457600</v>
      </c>
      <c r="AK9" s="2">
        <f t="shared" si="2"/>
        <v>2588400</v>
      </c>
    </row>
    <row r="10" spans="1:37" s="182" customFormat="1" outlineLevel="1" x14ac:dyDescent="0.25">
      <c r="A10" s="168" t="s">
        <v>275</v>
      </c>
      <c r="B10" s="15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5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5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182" customFormat="1" outlineLevel="1" x14ac:dyDescent="0.25">
      <c r="A11" s="168" t="s">
        <v>276</v>
      </c>
      <c r="B11" s="151"/>
      <c r="C11" s="2">
        <f>('Планирование выручки'!C9-'Планирование выручки'!C5)*'Расчет среднего чека'!$E$67</f>
        <v>-12000</v>
      </c>
      <c r="D11" s="2">
        <f>('Планирование выручки'!D9-'Планирование выручки'!D5)*'Расчет среднего чека'!$E$67</f>
        <v>96000</v>
      </c>
      <c r="E11" s="2">
        <f>('Планирование выручки'!E9-'Планирование выручки'!E5)*'Расчет среднего чека'!$E$67</f>
        <v>132000</v>
      </c>
      <c r="F11" s="2">
        <f>('Планирование выручки'!F9-'Планирование выручки'!F5)*'Расчет среднего чека'!$E$67</f>
        <v>168000</v>
      </c>
      <c r="G11" s="2">
        <f>('Планирование выручки'!G9-'Планирование выручки'!G5)*'Расчет среднего чека'!$E$67</f>
        <v>204000</v>
      </c>
      <c r="H11" s="2">
        <f>('Планирование выручки'!H9-'Планирование выручки'!H5)*'Расчет среднего чека'!$E$67</f>
        <v>228000</v>
      </c>
      <c r="I11" s="2">
        <f>('Планирование выручки'!I9-'Планирование выручки'!I5)*'Расчет среднего чека'!$E$67</f>
        <v>288000</v>
      </c>
      <c r="J11" s="2">
        <f>('Планирование выручки'!J9-'Планирование выручки'!J5)*'Расчет среднего чека'!$E$67</f>
        <v>348000</v>
      </c>
      <c r="K11" s="2">
        <f>('Планирование выручки'!K9-'Планирование выручки'!K5)*'Расчет среднего чека'!$E$67</f>
        <v>396000</v>
      </c>
      <c r="L11" s="2">
        <f>('Планирование выручки'!L9-'Планирование выручки'!L5)*'Расчет среднего чека'!$E$67</f>
        <v>516000</v>
      </c>
      <c r="M11" s="2">
        <f>('Планирование выручки'!M9-'Планирование выручки'!M5)*'Расчет среднего чека'!$E$67</f>
        <v>624000</v>
      </c>
      <c r="N11" s="151">
        <f>('Планирование выручки'!N9-'Планирование выручки'!N5)*'Расчет среднего чека'!$E$67</f>
        <v>744000</v>
      </c>
      <c r="O11" s="2">
        <f>('Планирование выручки'!O9-'Планирование выручки'!O5)*'Расчет среднего чека'!$E$67</f>
        <v>792000</v>
      </c>
      <c r="P11" s="2">
        <f>('Планирование выручки'!P9-'Планирование выручки'!P5)*'Расчет среднего чека'!$E$67</f>
        <v>912000</v>
      </c>
      <c r="Q11" s="2">
        <f>('Планирование выручки'!Q9-'Планирование выручки'!Q5)*'Расчет среднего чека'!$E$67</f>
        <v>1020000</v>
      </c>
      <c r="R11" s="2">
        <f>('Планирование выручки'!R9-'Планирование выручки'!R5)*'Расчет среднего чека'!$E$67</f>
        <v>1080000</v>
      </c>
      <c r="S11" s="2">
        <f>('Планирование выручки'!S9-'Планирование выручки'!S5)*'Расчет среднего чека'!$E$67</f>
        <v>1140000</v>
      </c>
      <c r="T11" s="2">
        <f>('Планирование выручки'!T9-'Планирование выручки'!T5)*'Расчет среднего чека'!$E$67</f>
        <v>1152000</v>
      </c>
      <c r="U11" s="2">
        <f>('Планирование выручки'!U9-'Планирование выручки'!U5)*'Расчет среднего чека'!$E$67</f>
        <v>1164000</v>
      </c>
      <c r="V11" s="2">
        <f>('Планирование выручки'!V9-'Планирование выручки'!V5)*'Расчет среднего чека'!$E$67</f>
        <v>1212000</v>
      </c>
      <c r="W11" s="2">
        <f>('Планирование выручки'!W9-'Планирование выручки'!W5)*'Расчет среднего чека'!$E$67</f>
        <v>1272000</v>
      </c>
      <c r="X11" s="2">
        <f>('Планирование выручки'!X9-'Планирование выручки'!X5)*'Расчет среднего чека'!$E$67</f>
        <v>1380000</v>
      </c>
      <c r="Y11" s="2">
        <f>('Планирование выручки'!Y9-'Планирование выручки'!Y5)*'Расчет среднего чека'!$E$67</f>
        <v>1488000</v>
      </c>
      <c r="Z11" s="151">
        <f>('Планирование выручки'!Z9-'Планирование выручки'!Z5)*'Расчет среднего чека'!$E$67</f>
        <v>1608000</v>
      </c>
      <c r="AA11" s="2">
        <f>('Планирование выручки'!AA9-'Планирование выручки'!AA5)*'Расчет среднего чека'!$E$67</f>
        <v>1668000</v>
      </c>
      <c r="AB11" s="2">
        <f>('Планирование выручки'!AB9-'Планирование выручки'!AB5)*'Расчет среднего чека'!$E$67</f>
        <v>1776000</v>
      </c>
      <c r="AC11" s="2">
        <f>('Планирование выручки'!AC9-'Планирование выручки'!AC5)*'Расчет среднего чека'!$E$67</f>
        <v>1896000</v>
      </c>
      <c r="AD11" s="2">
        <f>('Планирование выручки'!AD9-'Планирование выручки'!AD5)*'Расчет среднего чека'!$E$67</f>
        <v>1944000</v>
      </c>
      <c r="AE11" s="2">
        <f>('Планирование выручки'!AE9-'Планирование выручки'!AE5)*'Расчет среднего чека'!$E$67</f>
        <v>2004000</v>
      </c>
      <c r="AF11" s="2">
        <f>('Планирование выручки'!AF9-'Планирование выручки'!AF5)*'Расчет среднего чека'!$E$67</f>
        <v>2016000</v>
      </c>
      <c r="AG11" s="2">
        <f>('Планирование выручки'!AG9-'Планирование выручки'!AG5)*'Расчет среднего чека'!$E$67</f>
        <v>2028000</v>
      </c>
      <c r="AH11" s="2">
        <f>('Планирование выручки'!AH9-'Планирование выручки'!AH5)*'Расчет среднего чека'!$E$67</f>
        <v>2088000</v>
      </c>
      <c r="AI11" s="2">
        <f>('Планирование выручки'!AI9-'Планирование выручки'!AI5)*'Расчет среднего чека'!$E$67</f>
        <v>2136000</v>
      </c>
      <c r="AJ11" s="2">
        <f>('Планирование выручки'!AJ9-'Планирование выручки'!AJ5)*'Расчет среднего чека'!$E$67</f>
        <v>2244000</v>
      </c>
      <c r="AK11" s="2">
        <f>('Планирование выручки'!AK9-'Планирование выручки'!AK5)*'Расчет среднего чека'!$E$67</f>
        <v>2364000</v>
      </c>
    </row>
    <row r="12" spans="1:37" s="182" customFormat="1" outlineLevel="1" x14ac:dyDescent="0.25">
      <c r="A12" s="168" t="s">
        <v>277</v>
      </c>
      <c r="B12" s="151"/>
      <c r="C12" s="2"/>
      <c r="D12" s="2">
        <f>'Планирование выручки'!C12</f>
        <v>0</v>
      </c>
      <c r="E12" s="2">
        <f>'Планирование выручки'!D12</f>
        <v>9600</v>
      </c>
      <c r="F12" s="2">
        <f>'Планирование выручки'!E12</f>
        <v>13200</v>
      </c>
      <c r="G12" s="2">
        <f>'Планирование выручки'!F12</f>
        <v>16800</v>
      </c>
      <c r="H12" s="2">
        <f>'Планирование выручки'!G12</f>
        <v>20400</v>
      </c>
      <c r="I12" s="2">
        <f>'Планирование выручки'!H12</f>
        <v>22800</v>
      </c>
      <c r="J12" s="2">
        <f>'Планирование выручки'!I12</f>
        <v>28800</v>
      </c>
      <c r="K12" s="2">
        <f>'Планирование выручки'!J12</f>
        <v>34800</v>
      </c>
      <c r="L12" s="2">
        <f>'Планирование выручки'!K12</f>
        <v>39600</v>
      </c>
      <c r="M12" s="2">
        <f>'Планирование выручки'!L12</f>
        <v>51600</v>
      </c>
      <c r="N12" s="151">
        <f>'Планирование выручки'!M12</f>
        <v>62400</v>
      </c>
      <c r="O12" s="2">
        <f>'Планирование выручки'!N12</f>
        <v>74400</v>
      </c>
      <c r="P12" s="2">
        <f>'Планирование выручки'!O12</f>
        <v>79200</v>
      </c>
      <c r="Q12" s="2">
        <f>'Планирование выручки'!P12</f>
        <v>91200</v>
      </c>
      <c r="R12" s="2">
        <f>'Планирование выручки'!Q12</f>
        <v>102000</v>
      </c>
      <c r="S12" s="2">
        <f>'Планирование выручки'!R12</f>
        <v>108000</v>
      </c>
      <c r="T12" s="2">
        <f>'Планирование выручки'!S12</f>
        <v>114000</v>
      </c>
      <c r="U12" s="2">
        <f>'Планирование выручки'!T12</f>
        <v>115200</v>
      </c>
      <c r="V12" s="2">
        <f>'Планирование выручки'!U12</f>
        <v>116400</v>
      </c>
      <c r="W12" s="2">
        <f>'Планирование выручки'!V12</f>
        <v>121200</v>
      </c>
      <c r="X12" s="2">
        <f>'Планирование выручки'!W12</f>
        <v>127200</v>
      </c>
      <c r="Y12" s="2">
        <f>'Планирование выручки'!X12</f>
        <v>138000</v>
      </c>
      <c r="Z12" s="151">
        <f>'Планирование выручки'!Y12</f>
        <v>148800</v>
      </c>
      <c r="AA12" s="2">
        <f>'Планирование выручки'!Z12</f>
        <v>160800</v>
      </c>
      <c r="AB12" s="2">
        <f>'Планирование выручки'!AA12</f>
        <v>166800</v>
      </c>
      <c r="AC12" s="2">
        <f>'Планирование выручки'!AB12</f>
        <v>177600</v>
      </c>
      <c r="AD12" s="2">
        <f>'Планирование выручки'!AC12</f>
        <v>189600</v>
      </c>
      <c r="AE12" s="2">
        <f>'Планирование выручки'!AD12</f>
        <v>194400</v>
      </c>
      <c r="AF12" s="2">
        <f>'Планирование выручки'!AE12</f>
        <v>200400</v>
      </c>
      <c r="AG12" s="2">
        <f>'Планирование выручки'!AF12</f>
        <v>201600</v>
      </c>
      <c r="AH12" s="2">
        <f>'Планирование выручки'!AG12</f>
        <v>202800</v>
      </c>
      <c r="AI12" s="2">
        <f>'Планирование выручки'!AH12</f>
        <v>208800</v>
      </c>
      <c r="AJ12" s="2">
        <f>'Планирование выручки'!AI12</f>
        <v>213600</v>
      </c>
      <c r="AK12" s="2">
        <f>'Планирование выручки'!AJ12</f>
        <v>224400</v>
      </c>
    </row>
    <row r="13" spans="1:37" s="182" customFormat="1" ht="27" outlineLevel="1" x14ac:dyDescent="0.25">
      <c r="A13" s="168" t="s">
        <v>278</v>
      </c>
      <c r="B13" s="151">
        <f>'Планирование выручки'!B5*'Расчет среднего чека'!$E$67</f>
        <v>0</v>
      </c>
      <c r="C13" s="2">
        <f>'Планирование выручки'!C5*'Расчет среднего чека'!$E$67</f>
        <v>108000</v>
      </c>
      <c r="D13" s="2">
        <f>'Планирование выручки'!D5*'Расчет среднего чека'!$E$67</f>
        <v>36000</v>
      </c>
      <c r="E13" s="2">
        <f>'Планирование выручки'!E5*'Расчет среднего чека'!$E$67</f>
        <v>36000</v>
      </c>
      <c r="F13" s="2">
        <f>'Планирование выручки'!F5*'Расчет среднего чека'!$E$67</f>
        <v>36000</v>
      </c>
      <c r="G13" s="2">
        <f>'Планирование выручки'!G5*'Расчет среднего чека'!$E$67</f>
        <v>36000</v>
      </c>
      <c r="H13" s="2">
        <f>'Планирование выручки'!H5*'Расчет среднего чека'!$E$67</f>
        <v>60000</v>
      </c>
      <c r="I13" s="2">
        <f>'Планирование выручки'!I5*'Расчет среднего чека'!$E$67</f>
        <v>60000</v>
      </c>
      <c r="J13" s="2">
        <f>'Планирование выручки'!J5*'Расчет среднего чека'!$E$67</f>
        <v>60000</v>
      </c>
      <c r="K13" s="2">
        <f>'Планирование выручки'!K5*'Расчет среднего чека'!$E$67</f>
        <v>120000</v>
      </c>
      <c r="L13" s="2">
        <f>'Планирование выручки'!L5*'Расчет среднего чека'!$E$67</f>
        <v>120000</v>
      </c>
      <c r="M13" s="2">
        <f>'Планирование выручки'!M5*'Расчет среднего чека'!$E$67</f>
        <v>120000</v>
      </c>
      <c r="N13" s="151">
        <f>'Планирование выручки'!N5*'Расчет среднего чека'!$E$67</f>
        <v>60000</v>
      </c>
      <c r="O13" s="2">
        <f>'Планирование выручки'!O5*'Расчет среднего чека'!$E$67</f>
        <v>120000</v>
      </c>
      <c r="P13" s="2">
        <f>'Планирование выручки'!P5*'Расчет среднего чека'!$E$67</f>
        <v>120000</v>
      </c>
      <c r="Q13" s="2">
        <f>'Планирование выручки'!Q5*'Расчет среднего чека'!$E$67</f>
        <v>60000</v>
      </c>
      <c r="R13" s="2">
        <f>'Планирование выручки'!R5*'Расчет среднего чека'!$E$67</f>
        <v>60000</v>
      </c>
      <c r="S13" s="2">
        <f>'Планирование выручки'!S5*'Расчет среднего чека'!$E$67</f>
        <v>12000</v>
      </c>
      <c r="T13" s="2">
        <f>'Планирование выручки'!T5*'Расчет среднего чека'!$E$67</f>
        <v>12000</v>
      </c>
      <c r="U13" s="2">
        <f>'Планирование выручки'!U5*'Расчет среднего чека'!$E$67</f>
        <v>60000</v>
      </c>
      <c r="V13" s="2">
        <f>'Планирование выручки'!V5*'Расчет среднего чека'!$E$67</f>
        <v>60000</v>
      </c>
      <c r="W13" s="2">
        <f>'Планирование выручки'!W5*'Расчет среднего чека'!$E$67</f>
        <v>120000</v>
      </c>
      <c r="X13" s="2">
        <f>'Планирование выручки'!X5*'Расчет среднего чека'!$E$67</f>
        <v>120000</v>
      </c>
      <c r="Y13" s="2">
        <f>'Планирование выручки'!Y5*'Расчет среднего чека'!$E$67</f>
        <v>120000</v>
      </c>
      <c r="Z13" s="151">
        <f>'Планирование выручки'!Z5*'Расчет среднего чека'!$E$67</f>
        <v>60000</v>
      </c>
      <c r="AA13" s="2">
        <f>'Планирование выручки'!AA5*'Расчет среднего чека'!$E$67</f>
        <v>120000</v>
      </c>
      <c r="AB13" s="2">
        <f>'Планирование выручки'!AB5*'Расчет среднего чека'!$E$67</f>
        <v>120000</v>
      </c>
      <c r="AC13" s="2">
        <f>'Планирование выручки'!AC5*'Расчет среднего чека'!$E$67</f>
        <v>60000</v>
      </c>
      <c r="AD13" s="2">
        <f>'Планирование выручки'!AD5*'Расчет среднего чека'!$E$67</f>
        <v>60000</v>
      </c>
      <c r="AE13" s="2">
        <f>'Планирование выручки'!AE5*'Расчет среднего чека'!$E$67</f>
        <v>12000</v>
      </c>
      <c r="AF13" s="2">
        <f>'Планирование выручки'!AF5*'Расчет среднего чека'!$E$67</f>
        <v>12000</v>
      </c>
      <c r="AG13" s="2">
        <f>'Планирование выручки'!AG5*'Расчет среднего чека'!$E$67</f>
        <v>60000</v>
      </c>
      <c r="AH13" s="2">
        <f>'Планирование выручки'!AH5*'Расчет среднего чека'!$E$67</f>
        <v>60000</v>
      </c>
      <c r="AI13" s="2">
        <f>'Планирование выручки'!AI5*'Расчет среднего чека'!$E$67</f>
        <v>120000</v>
      </c>
      <c r="AJ13" s="2">
        <f>'Планирование выручки'!AJ5*'Расчет среднего чека'!$E$67</f>
        <v>120000</v>
      </c>
      <c r="AK13" s="2">
        <f>'Планирование выручки'!AK5*'Расчет среднего чека'!$E$67</f>
        <v>120000</v>
      </c>
    </row>
    <row r="14" spans="1:37" s="182" customFormat="1" ht="27" outlineLevel="1" x14ac:dyDescent="0.25">
      <c r="A14" s="168" t="s">
        <v>279</v>
      </c>
      <c r="B14" s="151">
        <f t="shared" ref="B14:AK14" si="3">SUM(B15:B17)</f>
        <v>0</v>
      </c>
      <c r="C14" s="2">
        <f t="shared" si="3"/>
        <v>0</v>
      </c>
      <c r="D14" s="2">
        <f t="shared" si="3"/>
        <v>0</v>
      </c>
      <c r="E14" s="2">
        <f>SUM(E15:E17)</f>
        <v>0</v>
      </c>
      <c r="F14" s="2">
        <f>SUM(F15:F17)</f>
        <v>0</v>
      </c>
      <c r="G14" s="2">
        <f t="shared" si="3"/>
        <v>0</v>
      </c>
      <c r="H14" s="2"/>
      <c r="I14" s="2">
        <f t="shared" si="3"/>
        <v>0</v>
      </c>
      <c r="J14" s="2">
        <f t="shared" si="3"/>
        <v>0</v>
      </c>
      <c r="K14" s="2">
        <f t="shared" si="3"/>
        <v>0</v>
      </c>
      <c r="L14" s="2">
        <f t="shared" si="3"/>
        <v>0</v>
      </c>
      <c r="M14" s="2">
        <f t="shared" si="3"/>
        <v>0</v>
      </c>
      <c r="N14" s="152">
        <f t="shared" si="3"/>
        <v>0</v>
      </c>
      <c r="O14" s="2">
        <f t="shared" si="3"/>
        <v>0</v>
      </c>
      <c r="P14" s="2">
        <f t="shared" si="3"/>
        <v>0</v>
      </c>
      <c r="Q14" s="2">
        <f t="shared" si="3"/>
        <v>0</v>
      </c>
      <c r="R14" s="2">
        <f t="shared" si="3"/>
        <v>0</v>
      </c>
      <c r="S14" s="2">
        <f t="shared" si="3"/>
        <v>0</v>
      </c>
      <c r="T14" s="2">
        <f t="shared" si="3"/>
        <v>0</v>
      </c>
      <c r="U14" s="2">
        <f t="shared" si="3"/>
        <v>0</v>
      </c>
      <c r="V14" s="2">
        <f t="shared" si="3"/>
        <v>0</v>
      </c>
      <c r="W14" s="2">
        <f t="shared" si="3"/>
        <v>0</v>
      </c>
      <c r="X14" s="2">
        <f t="shared" si="3"/>
        <v>0</v>
      </c>
      <c r="Y14" s="2">
        <f t="shared" si="3"/>
        <v>0</v>
      </c>
      <c r="Z14" s="151">
        <f t="shared" si="3"/>
        <v>0</v>
      </c>
      <c r="AA14" s="2">
        <f t="shared" si="3"/>
        <v>0</v>
      </c>
      <c r="AB14" s="2">
        <f t="shared" si="3"/>
        <v>0</v>
      </c>
      <c r="AC14" s="2">
        <f t="shared" si="3"/>
        <v>0</v>
      </c>
      <c r="AD14" s="2">
        <f t="shared" si="3"/>
        <v>0</v>
      </c>
      <c r="AE14" s="2">
        <f t="shared" si="3"/>
        <v>0</v>
      </c>
      <c r="AF14" s="2">
        <f t="shared" si="3"/>
        <v>0</v>
      </c>
      <c r="AG14" s="2">
        <f t="shared" si="3"/>
        <v>0</v>
      </c>
      <c r="AH14" s="2">
        <f t="shared" si="3"/>
        <v>0</v>
      </c>
      <c r="AI14" s="2">
        <f t="shared" si="3"/>
        <v>0</v>
      </c>
      <c r="AJ14" s="2">
        <f t="shared" si="3"/>
        <v>0</v>
      </c>
      <c r="AK14" s="2">
        <f t="shared" si="3"/>
        <v>0</v>
      </c>
    </row>
    <row r="15" spans="1:37" s="182" customFormat="1" outlineLevel="1" x14ac:dyDescent="0.25">
      <c r="A15" s="168" t="s">
        <v>280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</row>
    <row r="16" spans="1:37" s="225" customFormat="1" outlineLevel="1" x14ac:dyDescent="0.25">
      <c r="A16" s="168" t="s">
        <v>281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</row>
    <row r="17" spans="1:37" s="225" customFormat="1" outlineLevel="1" x14ac:dyDescent="0.25">
      <c r="A17" s="168" t="s">
        <v>282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</row>
    <row r="18" spans="1:37" s="225" customFormat="1" outlineLevel="1" x14ac:dyDescent="0.25">
      <c r="A18" s="168" t="s">
        <v>283</v>
      </c>
      <c r="B18" s="154">
        <f>'Прогноз фин результата'!B43</f>
        <v>-301600</v>
      </c>
      <c r="C18" s="155">
        <f>'Прогноз фин результата'!C43</f>
        <v>-352978</v>
      </c>
      <c r="D18" s="155">
        <f>'Прогноз фин результата'!D43</f>
        <v>-113497</v>
      </c>
      <c r="E18" s="155">
        <f>'Прогноз фин результата'!E43</f>
        <v>-162224</v>
      </c>
      <c r="F18" s="155">
        <f>'Прогноз фин результата'!F43</f>
        <v>-69475</v>
      </c>
      <c r="G18" s="155">
        <f>'Прогноз фин результата'!G43</f>
        <v>-55360</v>
      </c>
      <c r="H18" s="155">
        <f>'Прогноз фин результата'!H43</f>
        <v>-115194</v>
      </c>
      <c r="I18" s="155">
        <f>'Прогноз фин результата'!I43</f>
        <v>-106849</v>
      </c>
      <c r="J18" s="155">
        <f>'Прогноз фин результата'!J43</f>
        <v>6118</v>
      </c>
      <c r="K18" s="155">
        <f>'Прогноз фин результата'!K43</f>
        <v>-148233</v>
      </c>
      <c r="L18" s="155">
        <f>'Прогноз фин результата'!L43</f>
        <v>-240593</v>
      </c>
      <c r="M18" s="155">
        <f>'Прогноз фин результата'!M43</f>
        <v>-163386</v>
      </c>
      <c r="N18" s="154">
        <f>'Прогноз фин результата'!N43</f>
        <v>26521.55</v>
      </c>
      <c r="O18" s="155">
        <f>'Прогноз фин результата'!O43</f>
        <v>-107492.59999999999</v>
      </c>
      <c r="P18" s="2">
        <f>'Прогноз фин результата'!P43</f>
        <v>14116.899999999994</v>
      </c>
      <c r="Q18" s="2">
        <f>'Прогноз фин результата'!Q43</f>
        <v>151199.5</v>
      </c>
      <c r="R18" s="2">
        <f>'Прогноз фин результата'!R43</f>
        <v>203082.75</v>
      </c>
      <c r="S18" s="2">
        <f>'Прогноз фин результата'!S43</f>
        <v>139273.60000000001</v>
      </c>
      <c r="T18" s="2">
        <f>'Прогноз фин результата'!T43</f>
        <v>120405.24999999997</v>
      </c>
      <c r="U18" s="2">
        <f>'Прогноз фин результата'!U43</f>
        <v>180354.30000000002</v>
      </c>
      <c r="V18" s="2">
        <f>'Прогноз фин результата'!V43</f>
        <v>211498.9</v>
      </c>
      <c r="W18" s="2">
        <f>'Прогноз фин результата'!W43</f>
        <v>102048.4</v>
      </c>
      <c r="X18" s="2">
        <f>'Прогноз фин результата'!X43</f>
        <v>344543.24999999994</v>
      </c>
      <c r="Y18" s="2">
        <f>'Прогноз фин результата'!Y43</f>
        <v>37865.099999999948</v>
      </c>
      <c r="Z18" s="151">
        <f>'Прогноз фин результата'!Z43</f>
        <v>371625.35</v>
      </c>
      <c r="AA18" s="2">
        <f>'Прогноз фин результата'!AA43</f>
        <v>234644.85</v>
      </c>
      <c r="AB18" s="2">
        <f>'Прогноз фин результата'!AB43</f>
        <v>274427.7</v>
      </c>
      <c r="AC18" s="2">
        <f>'Прогноз фин результата'!AC43</f>
        <v>466509.94999999995</v>
      </c>
      <c r="AD18" s="2">
        <f>'Прогноз фин результата'!AD43</f>
        <v>487477.55000000005</v>
      </c>
      <c r="AE18" s="2">
        <f>'Прогноз фин результата'!AE43</f>
        <v>446077.4</v>
      </c>
      <c r="AF18" s="2">
        <f>'Прогноз фин результата'!AF43</f>
        <v>425084.04999999993</v>
      </c>
      <c r="AG18" s="2">
        <f>'Прогноз фин результата'!AG43</f>
        <v>504608.10000000009</v>
      </c>
      <c r="AH18" s="2">
        <f>'Прогноз фин результата'!AH43</f>
        <v>536748.35</v>
      </c>
      <c r="AI18" s="2">
        <f>'Прогноз фин результата'!AI43</f>
        <v>422902.19999999984</v>
      </c>
      <c r="AJ18" s="2">
        <f>'Прогноз фин результата'!AJ43</f>
        <v>793973.05000000016</v>
      </c>
      <c r="AK18" s="2">
        <f>'Прогноз фин результата'!AK43</f>
        <v>223508.55000000005</v>
      </c>
    </row>
    <row r="19" spans="1:37" s="182" customFormat="1" x14ac:dyDescent="0.25">
      <c r="A19" s="168"/>
      <c r="B19" s="15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5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82" customFormat="1" ht="27" x14ac:dyDescent="0.25">
      <c r="A20" s="150" t="s">
        <v>284</v>
      </c>
      <c r="B20" s="156">
        <f t="shared" ref="B20:AK20" si="4">SUM(B21:B31)</f>
        <v>90000</v>
      </c>
      <c r="C20" s="157">
        <f t="shared" si="4"/>
        <v>198884</v>
      </c>
      <c r="D20" s="157">
        <f t="shared" si="4"/>
        <v>277380</v>
      </c>
      <c r="E20" s="157">
        <f t="shared" si="4"/>
        <v>269400</v>
      </c>
      <c r="F20" s="157">
        <f t="shared" si="4"/>
        <v>289380</v>
      </c>
      <c r="G20" s="157">
        <f t="shared" si="4"/>
        <v>305484</v>
      </c>
      <c r="H20" s="157">
        <f t="shared" si="4"/>
        <v>337592</v>
      </c>
      <c r="I20" s="157">
        <f t="shared" si="4"/>
        <v>407740</v>
      </c>
      <c r="J20" s="157">
        <f t="shared" si="4"/>
        <v>439844</v>
      </c>
      <c r="K20" s="157">
        <f t="shared" si="4"/>
        <v>499220</v>
      </c>
      <c r="L20" s="157">
        <f t="shared" si="4"/>
        <v>673680</v>
      </c>
      <c r="M20" s="157">
        <f t="shared" si="4"/>
        <v>824776</v>
      </c>
      <c r="N20" s="156">
        <f t="shared" si="4"/>
        <v>842840</v>
      </c>
      <c r="O20" s="157">
        <f t="shared" si="4"/>
        <v>892500</v>
      </c>
      <c r="P20" s="157">
        <f t="shared" si="4"/>
        <v>1082761.1499999999</v>
      </c>
      <c r="Q20" s="157">
        <f t="shared" si="4"/>
        <v>996680</v>
      </c>
      <c r="R20" s="157">
        <f t="shared" si="4"/>
        <v>983800</v>
      </c>
      <c r="S20" s="157">
        <f t="shared" si="4"/>
        <v>1186359.1499999999</v>
      </c>
      <c r="T20" s="157">
        <f t="shared" si="4"/>
        <v>1033740</v>
      </c>
      <c r="U20" s="157">
        <f t="shared" si="4"/>
        <v>1072904</v>
      </c>
      <c r="V20" s="157">
        <f t="shared" si="4"/>
        <v>1297772.55</v>
      </c>
      <c r="W20" s="157">
        <f t="shared" si="4"/>
        <v>1163240</v>
      </c>
      <c r="X20" s="157">
        <f t="shared" si="4"/>
        <v>1272360</v>
      </c>
      <c r="Y20" s="157">
        <f t="shared" si="4"/>
        <v>1586640.25</v>
      </c>
      <c r="Z20" s="158">
        <f t="shared" si="4"/>
        <v>1374860</v>
      </c>
      <c r="AA20" s="157">
        <f t="shared" si="4"/>
        <v>1420520</v>
      </c>
      <c r="AB20" s="157">
        <f t="shared" si="4"/>
        <v>1863440.1</v>
      </c>
      <c r="AC20" s="157">
        <f t="shared" si="4"/>
        <v>1578200</v>
      </c>
      <c r="AD20" s="157">
        <f t="shared" si="4"/>
        <v>1560980</v>
      </c>
      <c r="AE20" s="157">
        <f t="shared" si="4"/>
        <v>1977803.0999999999</v>
      </c>
      <c r="AF20" s="157">
        <f t="shared" si="4"/>
        <v>1614260</v>
      </c>
      <c r="AG20" s="157">
        <f t="shared" si="4"/>
        <v>1642424</v>
      </c>
      <c r="AH20" s="157">
        <f t="shared" si="4"/>
        <v>2076391.5</v>
      </c>
      <c r="AI20" s="157">
        <f t="shared" si="4"/>
        <v>1723920</v>
      </c>
      <c r="AJ20" s="157">
        <f t="shared" si="4"/>
        <v>1822380</v>
      </c>
      <c r="AK20" s="157">
        <f t="shared" si="4"/>
        <v>2369834.2000000002</v>
      </c>
    </row>
    <row r="21" spans="1:37" s="182" customFormat="1" ht="27" x14ac:dyDescent="0.25">
      <c r="A21" s="168" t="s">
        <v>285</v>
      </c>
      <c r="B21" s="15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5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5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82" customFormat="1" x14ac:dyDescent="0.25">
      <c r="A22" s="168" t="s">
        <v>286</v>
      </c>
      <c r="B22" s="152">
        <f>('Прогноз фин результата'!B10+'Прогноз фин результата'!B18)*0.4</f>
        <v>28000</v>
      </c>
      <c r="C22" s="2">
        <f>('Прогноз фин результата'!C10+'Прогноз фин результата'!C18)*0.4</f>
        <v>68256</v>
      </c>
      <c r="D22" s="2">
        <f>('Прогноз фин результата'!D10+'Прогноз фин результата'!D18)*0.4</f>
        <v>58752</v>
      </c>
      <c r="E22" s="2">
        <f>('Прогноз фин результата'!E10+'Прогноз фин результата'!E18)*0.4</f>
        <v>66752</v>
      </c>
      <c r="F22" s="2">
        <f>('Прогноз фин результата'!F10+'Прогноз фин результата'!F18)*0.4</f>
        <v>66752</v>
      </c>
      <c r="G22" s="2">
        <f>('Прогноз фин результата'!G10+'Прогноз фин результата'!G18)*0.4</f>
        <v>72752</v>
      </c>
      <c r="H22" s="2">
        <f>('Прогноз фин результата'!H10+'Прогноз фин результата'!H18)*0.4</f>
        <v>87920</v>
      </c>
      <c r="I22" s="2">
        <f>('Прогноз фин результата'!I10+'Прогноз фин результата'!I18)*0.4</f>
        <v>95920</v>
      </c>
      <c r="J22" s="2">
        <f>('Прогноз фин результата'!J10+'Прогноз фин результата'!J18)*0.4</f>
        <v>95920</v>
      </c>
      <c r="K22" s="2">
        <f>('Прогноз фин результата'!K10+'Прогноз фин результата'!K18)*0.4</f>
        <v>135840</v>
      </c>
      <c r="L22" s="2">
        <f>('Прогноз фин результата'!L10+'Прогноз фин результата'!L18)*0.4</f>
        <v>173840</v>
      </c>
      <c r="M22" s="2">
        <f>('Прогноз фин результата'!M10+'Прогноз фин результата'!M18)*0.4</f>
        <v>193840</v>
      </c>
      <c r="N22" s="152">
        <f>('Прогноз фин результата'!N10+'Прогноз фин результата'!N18)*0.4</f>
        <v>185920</v>
      </c>
      <c r="O22" s="2">
        <f>('Прогноз фин результата'!O10+'Прогноз фин результата'!O18)*0.4</f>
        <v>219840</v>
      </c>
      <c r="P22" s="2">
        <f>('Прогноз фин результата'!P10+'Прогноз фин результата'!P18)*0.4</f>
        <v>227840</v>
      </c>
      <c r="Q22" s="2">
        <f>('Прогноз фин результата'!Q10+'Прогноз фин результата'!Q18)*0.4</f>
        <v>219920</v>
      </c>
      <c r="R22" s="2">
        <f>('Прогноз фин результата'!R10+'Прогноз фин результата'!R18)*0.4</f>
        <v>219920</v>
      </c>
      <c r="S22" s="2">
        <f>('Прогноз фин результата'!S10+'Прогноз фин результата'!S18)*0.4</f>
        <v>225584</v>
      </c>
      <c r="T22" s="2">
        <f>('Прогноз фин результата'!T10+'Прогноз фин результата'!T18)*0.4</f>
        <v>233584</v>
      </c>
      <c r="U22" s="2">
        <f>('Прогноз фин результата'!U10+'Прогноз фин результата'!U18)*0.4</f>
        <v>245920</v>
      </c>
      <c r="V22" s="2">
        <f>('Прогноз фин результата'!V10+'Прогноз фин результата'!V18)*0.4</f>
        <v>245920</v>
      </c>
      <c r="W22" s="2">
        <f>('Прогноз фин результата'!W10+'Прогноз фин результата'!W18)*0.4</f>
        <v>279840</v>
      </c>
      <c r="X22" s="2">
        <f>('Прогноз фин результата'!X10+'Прогноз фин результата'!X18)*0.4</f>
        <v>287840</v>
      </c>
      <c r="Y22" s="2">
        <f>('Прогноз фин результата'!Y10+'Прогноз фин результата'!Y18)*0.4</f>
        <v>307840</v>
      </c>
      <c r="Z22" s="151">
        <f>('Прогноз фин результата'!Z10+'Прогноз фин результата'!Z18)*0.4</f>
        <v>299920</v>
      </c>
      <c r="AA22" s="2">
        <f>('Прогноз фин результата'!AA10+'Прогноз фин результата'!AA18)*0.4</f>
        <v>333840</v>
      </c>
      <c r="AB22" s="2">
        <f>('Прогноз фин результата'!AB10+'Прогноз фин результата'!AB18)*0.4</f>
        <v>353840</v>
      </c>
      <c r="AC22" s="2">
        <f>('Прогноз фин результата'!AC10+'Прогноз фин результата'!AC18)*0.4</f>
        <v>345920</v>
      </c>
      <c r="AD22" s="2">
        <f>('Прогноз фин результата'!AD10+'Прогноз фин результата'!AD18)*0.4</f>
        <v>345920</v>
      </c>
      <c r="AE22" s="2">
        <f>('Прогноз фин результата'!AE10+'Прогноз фин результата'!AE18)*0.4</f>
        <v>351584</v>
      </c>
      <c r="AF22" s="2">
        <f>('Прогноз фин результата'!AF10+'Прогноз фин результата'!AF18)*0.4</f>
        <v>359584</v>
      </c>
      <c r="AG22" s="2">
        <f>('Прогноз фин результата'!AG10+'Прогноз фин результата'!AG18)*0.4</f>
        <v>365920</v>
      </c>
      <c r="AH22" s="2">
        <f>('Прогноз фин результата'!AH10+'Прогноз фин результата'!AH18)*0.4</f>
        <v>365920</v>
      </c>
      <c r="AI22" s="2">
        <f>('Прогноз фин результата'!AI10+'Прогноз фин результата'!AI18)*0.4</f>
        <v>399840</v>
      </c>
      <c r="AJ22" s="2">
        <f>('Прогноз фин результата'!AJ10+'Прогноз фин результата'!AJ18)*0.4</f>
        <v>407840</v>
      </c>
      <c r="AK22" s="2">
        <f>('Прогноз фин результата'!AK10+'Прогноз фин результата'!AK18)*0.4</f>
        <v>433840</v>
      </c>
    </row>
    <row r="23" spans="1:37" s="182" customFormat="1" x14ac:dyDescent="0.25">
      <c r="A23" s="168" t="s">
        <v>287</v>
      </c>
      <c r="B23" s="152"/>
      <c r="C23" s="2">
        <f>('Прогноз фин результата'!B10+'Прогноз фин результата'!B18)-B22</f>
        <v>42000</v>
      </c>
      <c r="D23" s="2">
        <f>('Прогноз фин результата'!C10+'Прогноз фин результата'!C18)-C22</f>
        <v>102384</v>
      </c>
      <c r="E23" s="2">
        <f>('Прогноз фин результата'!D10+'Прогноз фин результата'!D18)-D22</f>
        <v>88128</v>
      </c>
      <c r="F23" s="2">
        <f>('Прогноз фин результата'!E10+'Прогноз фин результата'!E18)-E22</f>
        <v>100128</v>
      </c>
      <c r="G23" s="2">
        <f>('Прогноз фин результата'!F10+'Прогноз фин результата'!F18)-F22</f>
        <v>100128</v>
      </c>
      <c r="H23" s="2">
        <f>('Прогноз фин результата'!G10+'Прогноз фин результата'!G18)-G22</f>
        <v>109128</v>
      </c>
      <c r="I23" s="2">
        <f>('Прогноз фин результата'!H10+'Прогноз фин результата'!H18)-H22</f>
        <v>131880</v>
      </c>
      <c r="J23" s="2">
        <f>('Прогноз фин результата'!I10+'Прогноз фин результата'!I18)-I22</f>
        <v>143880</v>
      </c>
      <c r="K23" s="2">
        <f>('Прогноз фин результата'!J10+'Прогноз фин результата'!J18)-J22</f>
        <v>143880</v>
      </c>
      <c r="L23" s="2">
        <f>('Прогноз фин результата'!K10+'Прогноз фин результата'!K18)-K22</f>
        <v>203760</v>
      </c>
      <c r="M23" s="2">
        <f>('Прогноз фин результата'!L10+'Прогноз фин результата'!L18)-L22</f>
        <v>260760</v>
      </c>
      <c r="N23" s="152">
        <f>('Прогноз фин результата'!M10+'Прогноз фин результата'!M18)-M22</f>
        <v>290760</v>
      </c>
      <c r="O23" s="2">
        <f>('Прогноз фин результата'!N10+'Прогноз фин результата'!N18)-N22</f>
        <v>278880</v>
      </c>
      <c r="P23" s="2">
        <f>('Прогноз фин результата'!O10+'Прогноз фин результата'!O18)-O22</f>
        <v>329760</v>
      </c>
      <c r="Q23" s="2">
        <f>('Прогноз фин результата'!P10+'Прогноз фин результата'!P18)-P22</f>
        <v>341760</v>
      </c>
      <c r="R23" s="2">
        <f>('Прогноз фин результата'!Q10+'Прогноз фин результата'!Q18)-Q22</f>
        <v>329880</v>
      </c>
      <c r="S23" s="2">
        <f>('Прогноз фин результата'!R10+'Прогноз фин результата'!R18)-R22</f>
        <v>329880</v>
      </c>
      <c r="T23" s="2">
        <f>('Прогноз фин результата'!S10+'Прогноз фин результата'!S18)-S22</f>
        <v>338376</v>
      </c>
      <c r="U23" s="2">
        <f>('Прогноз фин результата'!T10+'Прогноз фин результата'!T18)-T22</f>
        <v>350376</v>
      </c>
      <c r="V23" s="2">
        <f>('Прогноз фин результата'!U10+'Прогноз фин результата'!U18)-U22</f>
        <v>368880</v>
      </c>
      <c r="W23" s="2">
        <f>('Прогноз фин результата'!V10+'Прогноз фин результата'!V18)-V22</f>
        <v>368880</v>
      </c>
      <c r="X23" s="2">
        <f>('Прогноз фин результата'!W10+'Прогноз фин результата'!W18)-W22</f>
        <v>419760</v>
      </c>
      <c r="Y23" s="2">
        <f>('Прогноз фин результата'!X10+'Прогноз фин результата'!X18)-X22</f>
        <v>431760</v>
      </c>
      <c r="Z23" s="151">
        <f>('Прогноз фин результата'!Y10+'Прогноз фин результата'!Y18)-Y22</f>
        <v>461760</v>
      </c>
      <c r="AA23" s="2">
        <f>('Прогноз фин результата'!Z10+'Прогноз фин результата'!Z18)-Z22</f>
        <v>449880</v>
      </c>
      <c r="AB23" s="2">
        <f>('Прогноз фин результата'!AA10+'Прогноз фин результата'!AA18)-AA22</f>
        <v>500760</v>
      </c>
      <c r="AC23" s="2">
        <f>('Прогноз фин результата'!AB10+'Прогноз фин результата'!AB18)-AB22</f>
        <v>530760</v>
      </c>
      <c r="AD23" s="2">
        <f>('Прогноз фин результата'!AC10+'Прогноз фин результата'!AC18)-AC22</f>
        <v>518880</v>
      </c>
      <c r="AE23" s="2">
        <f>('Прогноз фин результата'!AD10+'Прогноз фин результата'!AD18)-AD22</f>
        <v>518880</v>
      </c>
      <c r="AF23" s="2">
        <f>('Прогноз фин результата'!AE10+'Прогноз фин результата'!AE18)-AE22</f>
        <v>527376</v>
      </c>
      <c r="AG23" s="2">
        <f>('Прогноз фин результата'!AF10+'Прогноз фин результата'!AF18)-AF22</f>
        <v>539376</v>
      </c>
      <c r="AH23" s="2">
        <f>('Прогноз фин результата'!AG10+'Прогноз фин результата'!AG18)-AG22</f>
        <v>548880</v>
      </c>
      <c r="AI23" s="2">
        <f>('Прогноз фин результата'!AH10+'Прогноз фин результата'!AH18)-AH22</f>
        <v>548880</v>
      </c>
      <c r="AJ23" s="2">
        <f>('Прогноз фин результата'!AI10+'Прогноз фин результата'!AI18)-AI22</f>
        <v>599760</v>
      </c>
      <c r="AK23" s="2">
        <f>('Прогноз фин результата'!AJ10+'Прогноз фин результата'!AJ18)-AJ22</f>
        <v>611760</v>
      </c>
    </row>
    <row r="24" spans="1:37" s="182" customFormat="1" x14ac:dyDescent="0.25">
      <c r="A24" s="168" t="s">
        <v>288</v>
      </c>
      <c r="B24" s="152">
        <f>2*'Аренда и Рабочие места'!B12</f>
        <v>45000</v>
      </c>
      <c r="C24" s="2">
        <f>'Аренда и Рабочие места'!C12</f>
        <v>22500</v>
      </c>
      <c r="D24" s="2">
        <f>'Аренда и Рабочие места'!D12</f>
        <v>22500</v>
      </c>
      <c r="E24" s="2">
        <f>'Аренда и Рабочие места'!E12</f>
        <v>22500</v>
      </c>
      <c r="F24" s="2">
        <f>'Аренда и Рабочие места'!F12</f>
        <v>22500</v>
      </c>
      <c r="G24" s="2">
        <f>'Аренда и Рабочие места'!G12</f>
        <v>22500</v>
      </c>
      <c r="H24" s="2">
        <f>'Аренда и Рабочие места'!H12</f>
        <v>22500</v>
      </c>
      <c r="I24" s="2">
        <f>'Аренда и Рабочие места'!I12</f>
        <v>45000</v>
      </c>
      <c r="J24" s="2">
        <f>'Аренда и Рабочие места'!J12</f>
        <v>45000</v>
      </c>
      <c r="K24" s="2">
        <f>'Аренда и Рабочие места'!K12</f>
        <v>54000</v>
      </c>
      <c r="L24" s="2">
        <f>'Аренда и Рабочие места'!L12</f>
        <v>72000</v>
      </c>
      <c r="M24" s="2">
        <f>'Аренда и Рабочие места'!M12</f>
        <v>81000</v>
      </c>
      <c r="N24" s="152">
        <f>'Аренда и Рабочие места'!N12</f>
        <v>81000</v>
      </c>
      <c r="O24" s="2">
        <f>'Аренда и Рабочие места'!O12</f>
        <v>90000</v>
      </c>
      <c r="P24" s="2">
        <f>'Аренда и Рабочие места'!P12</f>
        <v>94500</v>
      </c>
      <c r="Q24" s="2">
        <f>'Аренда и Рабочие места'!Q12</f>
        <v>94500</v>
      </c>
      <c r="R24" s="2">
        <f>'Аренда и Рабочие места'!R12</f>
        <v>94500</v>
      </c>
      <c r="S24" s="2">
        <f>'Аренда и Рабочие места'!S12</f>
        <v>103500</v>
      </c>
      <c r="T24" s="2">
        <f>'Аренда и Рабочие места'!T12</f>
        <v>108000</v>
      </c>
      <c r="U24" s="2">
        <f>'Аренда и Рабочие места'!U12</f>
        <v>108000</v>
      </c>
      <c r="V24" s="2">
        <f>'Аренда и Рабочие места'!V12</f>
        <v>108000</v>
      </c>
      <c r="W24" s="2">
        <f>'Аренда и Рабочие места'!W12</f>
        <v>117000</v>
      </c>
      <c r="X24" s="2">
        <f>'Аренда и Рабочие места'!X12</f>
        <v>121500</v>
      </c>
      <c r="Y24" s="2">
        <f>'Аренда и Рабочие места'!Y12</f>
        <v>135000</v>
      </c>
      <c r="Z24" s="151">
        <f>'Аренда и Рабочие места'!Z12</f>
        <v>135000</v>
      </c>
      <c r="AA24" s="2">
        <f>'Аренда и Рабочие места'!AA12</f>
        <v>144000</v>
      </c>
      <c r="AB24" s="2">
        <f>'Аренда и Рабочие места'!AB12</f>
        <v>153000</v>
      </c>
      <c r="AC24" s="2">
        <f>'Аренда и Рабочие места'!AC12</f>
        <v>153000</v>
      </c>
      <c r="AD24" s="2">
        <f>'Аренда и Рабочие места'!AD12</f>
        <v>153000</v>
      </c>
      <c r="AE24" s="2">
        <f>'Аренда и Рабочие места'!AE12</f>
        <v>157500</v>
      </c>
      <c r="AF24" s="2">
        <f>'Аренда и Рабочие места'!AF12</f>
        <v>166500</v>
      </c>
      <c r="AG24" s="2">
        <f>'Аренда и Рабочие места'!AG12</f>
        <v>166500</v>
      </c>
      <c r="AH24" s="2">
        <f>'Аренда и Рабочие места'!AH12</f>
        <v>166500</v>
      </c>
      <c r="AI24" s="2">
        <f>'Аренда и Рабочие места'!AI12</f>
        <v>175500</v>
      </c>
      <c r="AJ24" s="2">
        <f>'Аренда и Рабочие места'!AJ12</f>
        <v>180000</v>
      </c>
      <c r="AK24" s="2">
        <f>'Аренда и Рабочие места'!AK12</f>
        <v>189000</v>
      </c>
    </row>
    <row r="25" spans="1:37" s="182" customFormat="1" x14ac:dyDescent="0.25">
      <c r="A25" s="169" t="s">
        <v>55</v>
      </c>
      <c r="B25" s="152">
        <f>'Прогноз фин результата'!B27</f>
        <v>2000</v>
      </c>
      <c r="C25" s="129">
        <f>'Прогноз фин результата'!C27</f>
        <v>2000</v>
      </c>
      <c r="D25" s="129">
        <f>'Прогноз фин результата'!D27</f>
        <v>2000</v>
      </c>
      <c r="E25" s="129">
        <f>'Прогноз фин результата'!E27</f>
        <v>2000</v>
      </c>
      <c r="F25" s="129">
        <f>'Прогноз фин результата'!F27</f>
        <v>2000</v>
      </c>
      <c r="G25" s="129">
        <f>'Прогноз фин результата'!G27</f>
        <v>2000</v>
      </c>
      <c r="H25" s="129">
        <f>'Прогноз фин результата'!H27</f>
        <v>2000</v>
      </c>
      <c r="I25" s="129">
        <f>'Прогноз фин результата'!I27</f>
        <v>2000</v>
      </c>
      <c r="J25" s="129">
        <f>'Прогноз фин результата'!J27</f>
        <v>2000</v>
      </c>
      <c r="K25" s="129">
        <f>'Прогноз фин результата'!K27</f>
        <v>2000</v>
      </c>
      <c r="L25" s="129">
        <f>'Прогноз фин результата'!L27</f>
        <v>2000</v>
      </c>
      <c r="M25" s="129">
        <f>'Прогноз фин результата'!M27</f>
        <v>2000</v>
      </c>
      <c r="N25" s="152">
        <f>'Прогноз фин результата'!N27</f>
        <v>2000</v>
      </c>
      <c r="O25" s="129">
        <f>'Прогноз фин результата'!O27</f>
        <v>2000</v>
      </c>
      <c r="P25" s="129">
        <f>'Прогноз фин результата'!P27</f>
        <v>2000</v>
      </c>
      <c r="Q25" s="129">
        <f>'Прогноз фин результата'!Q27</f>
        <v>2000</v>
      </c>
      <c r="R25" s="129">
        <f>'Прогноз фин результата'!R27</f>
        <v>2000</v>
      </c>
      <c r="S25" s="129">
        <f>'Прогноз фин результата'!S27</f>
        <v>2000</v>
      </c>
      <c r="T25" s="129">
        <f>'Прогноз фин результата'!T27</f>
        <v>2000</v>
      </c>
      <c r="U25" s="129">
        <f>'Прогноз фин результата'!U27</f>
        <v>2000</v>
      </c>
      <c r="V25" s="129">
        <f>'Прогноз фин результата'!V27</f>
        <v>2000</v>
      </c>
      <c r="W25" s="129">
        <f>'Прогноз фин результата'!W27</f>
        <v>2000</v>
      </c>
      <c r="X25" s="129">
        <f>'Прогноз фин результата'!X27</f>
        <v>2000</v>
      </c>
      <c r="Y25" s="129">
        <f>'Прогноз фин результата'!Y27</f>
        <v>2000</v>
      </c>
      <c r="Z25" s="151">
        <f>'Прогноз фин результата'!Z27</f>
        <v>2000</v>
      </c>
      <c r="AA25" s="129">
        <f>'Прогноз фин результата'!AA27</f>
        <v>2000</v>
      </c>
      <c r="AB25" s="129">
        <f>'Прогноз фин результата'!AB27</f>
        <v>2000</v>
      </c>
      <c r="AC25" s="129">
        <f>'Прогноз фин результата'!AC27</f>
        <v>2000</v>
      </c>
      <c r="AD25" s="129">
        <f>'Прогноз фин результата'!AD27</f>
        <v>2000</v>
      </c>
      <c r="AE25" s="129">
        <f>'Прогноз фин результата'!AE27</f>
        <v>2000</v>
      </c>
      <c r="AF25" s="129">
        <f>'Прогноз фин результата'!AF27</f>
        <v>2000</v>
      </c>
      <c r="AG25" s="129">
        <f>'Прогноз фин результата'!AG27</f>
        <v>2000</v>
      </c>
      <c r="AH25" s="129">
        <f>'Прогноз фин результата'!AH27</f>
        <v>2000</v>
      </c>
      <c r="AI25" s="129">
        <f>'Прогноз фин результата'!AI27</f>
        <v>2000</v>
      </c>
      <c r="AJ25" s="129">
        <f>'Прогноз фин результата'!AJ27</f>
        <v>2000</v>
      </c>
      <c r="AK25" s="129">
        <f>'Прогноз фин результата'!AK27</f>
        <v>2000</v>
      </c>
    </row>
    <row r="26" spans="1:37" s="182" customFormat="1" x14ac:dyDescent="0.25">
      <c r="A26" s="168" t="s">
        <v>289</v>
      </c>
      <c r="B26" s="152">
        <f>'Прогноз фин результата'!B28</f>
        <v>1000</v>
      </c>
      <c r="C26" s="2">
        <f>'Прогноз фин результата'!C28</f>
        <v>1000</v>
      </c>
      <c r="D26" s="2">
        <f>'Прогноз фин результата'!D28</f>
        <v>1000</v>
      </c>
      <c r="E26" s="2">
        <f>'Прогноз фин результата'!E28</f>
        <v>1000</v>
      </c>
      <c r="F26" s="2">
        <f>'Прогноз фин результата'!F28</f>
        <v>1000</v>
      </c>
      <c r="G26" s="2">
        <f>'Прогноз фин результата'!G28</f>
        <v>1000</v>
      </c>
      <c r="H26" s="2">
        <f>'Прогноз фин результата'!H28</f>
        <v>1000</v>
      </c>
      <c r="I26" s="2">
        <f>'Прогноз фин результата'!I28</f>
        <v>1000</v>
      </c>
      <c r="J26" s="2">
        <f>'Прогноз фин результата'!J28</f>
        <v>1000</v>
      </c>
      <c r="K26" s="2">
        <f>'Прогноз фин результата'!K28</f>
        <v>1000</v>
      </c>
      <c r="L26" s="2">
        <f>'Прогноз фин результата'!L28</f>
        <v>1000</v>
      </c>
      <c r="M26" s="2">
        <f>'Прогноз фин результата'!M28</f>
        <v>1000</v>
      </c>
      <c r="N26" s="152">
        <f>'Прогноз фин результата'!N28</f>
        <v>1000</v>
      </c>
      <c r="O26" s="2">
        <f>'Прогноз фин результата'!O28</f>
        <v>1000</v>
      </c>
      <c r="P26" s="2">
        <f>'Прогноз фин результата'!P28</f>
        <v>1000</v>
      </c>
      <c r="Q26" s="2">
        <f>'Прогноз фин результата'!Q28</f>
        <v>1000</v>
      </c>
      <c r="R26" s="2">
        <f>'Прогноз фин результата'!R28</f>
        <v>1000</v>
      </c>
      <c r="S26" s="2">
        <f>'Прогноз фин результата'!S28</f>
        <v>1000</v>
      </c>
      <c r="T26" s="2">
        <f>'Прогноз фин результата'!T28</f>
        <v>1000</v>
      </c>
      <c r="U26" s="2">
        <f>'Прогноз фин результата'!U28</f>
        <v>1000</v>
      </c>
      <c r="V26" s="2">
        <f>'Прогноз фин результата'!V28</f>
        <v>1000</v>
      </c>
      <c r="W26" s="2">
        <f>'Прогноз фин результата'!W28</f>
        <v>1000</v>
      </c>
      <c r="X26" s="2">
        <f>'Прогноз фин результата'!X28</f>
        <v>1000</v>
      </c>
      <c r="Y26" s="2">
        <f>'Прогноз фин результата'!Y28</f>
        <v>1000</v>
      </c>
      <c r="Z26" s="151">
        <f>'Прогноз фин результата'!Z28</f>
        <v>1000</v>
      </c>
      <c r="AA26" s="2">
        <f>'Прогноз фин результата'!AA28</f>
        <v>1000</v>
      </c>
      <c r="AB26" s="2">
        <f>'Прогноз фин результата'!AB28</f>
        <v>1000</v>
      </c>
      <c r="AC26" s="2">
        <f>'Прогноз фин результата'!AC28</f>
        <v>1000</v>
      </c>
      <c r="AD26" s="2">
        <f>'Прогноз фин результата'!AD28</f>
        <v>1000</v>
      </c>
      <c r="AE26" s="2">
        <f>'Прогноз фин результата'!AE28</f>
        <v>1000</v>
      </c>
      <c r="AF26" s="2">
        <f>'Прогноз фин результата'!AF28</f>
        <v>1000</v>
      </c>
      <c r="AG26" s="2">
        <f>'Прогноз фин результата'!AG28</f>
        <v>1000</v>
      </c>
      <c r="AH26" s="2">
        <f>'Прогноз фин результата'!AH28</f>
        <v>1000</v>
      </c>
      <c r="AI26" s="2">
        <f>'Прогноз фин результата'!AI28</f>
        <v>1000</v>
      </c>
      <c r="AJ26" s="2">
        <f>'Прогноз фин результата'!AJ28</f>
        <v>1000</v>
      </c>
      <c r="AK26" s="2">
        <f>'Прогноз фин результата'!AK28</f>
        <v>1000</v>
      </c>
    </row>
    <row r="27" spans="1:37" s="182" customFormat="1" x14ac:dyDescent="0.25">
      <c r="A27" s="168" t="s">
        <v>290</v>
      </c>
      <c r="B27" s="152"/>
      <c r="C27" s="2">
        <f>'Прогноз фин результата'!B11+'Прогноз фин результата'!B19</f>
        <v>21000</v>
      </c>
      <c r="D27" s="2">
        <f>'Прогноз фин результата'!C11+'Прогноз фин результата'!C19</f>
        <v>51192</v>
      </c>
      <c r="E27" s="2">
        <f>'Прогноз фин результата'!D11+'Прогноз фин результата'!D19</f>
        <v>44064</v>
      </c>
      <c r="F27" s="2">
        <f>'Прогноз фин результата'!E11+'Прогноз фин результата'!E19</f>
        <v>50064</v>
      </c>
      <c r="G27" s="2">
        <f>'Прогноз фин результата'!F11+'Прогноз фин результата'!F19</f>
        <v>50064</v>
      </c>
      <c r="H27" s="2">
        <f>'Прогноз фин результата'!G11+'Прогноз фин результата'!G19</f>
        <v>54564</v>
      </c>
      <c r="I27" s="2">
        <f>'Прогноз фин результата'!H11+'Прогноз фин результата'!H19</f>
        <v>65940</v>
      </c>
      <c r="J27" s="2">
        <f>'Прогноз фин результата'!I11+'Прогноз фин результата'!I19</f>
        <v>71940</v>
      </c>
      <c r="K27" s="2">
        <f>'Прогноз фин результата'!J11+'Прогноз фин результата'!J19</f>
        <v>71940</v>
      </c>
      <c r="L27" s="2">
        <f>'Прогноз фин результата'!K11+'Прогноз фин результата'!K19</f>
        <v>101880</v>
      </c>
      <c r="M27" s="2">
        <f>'Прогноз фин результата'!L11+'Прогноз фин результата'!L19</f>
        <v>130380</v>
      </c>
      <c r="N27" s="152">
        <f>'Прогноз фин результата'!M11+'Прогноз фин результата'!M19</f>
        <v>145380</v>
      </c>
      <c r="O27" s="2">
        <f>'Прогноз фин результата'!N11+'Прогноз фин результата'!N19</f>
        <v>139440</v>
      </c>
      <c r="P27" s="2">
        <f>'Прогноз фин результата'!O11+'Прогноз фин результата'!O19</f>
        <v>164880</v>
      </c>
      <c r="Q27" s="2">
        <f>'Прогноз фин результата'!P11+'Прогноз фин результата'!P19</f>
        <v>170880</v>
      </c>
      <c r="R27" s="2">
        <f>'Прогноз фин результата'!Q11+'Прогноз фин результата'!Q19</f>
        <v>164940</v>
      </c>
      <c r="S27" s="2">
        <f>'Прогноз фин результата'!R11+'Прогноз фин результата'!R19</f>
        <v>164940</v>
      </c>
      <c r="T27" s="2">
        <f>'Прогноз фин результата'!S11+'Прогноз фин результата'!S19</f>
        <v>169188</v>
      </c>
      <c r="U27" s="2">
        <f>'Прогноз фин результата'!T11+'Прогноз фин результата'!T19</f>
        <v>175188</v>
      </c>
      <c r="V27" s="2">
        <f>'Прогноз фин результата'!U11+'Прогноз фин результата'!U19</f>
        <v>184440</v>
      </c>
      <c r="W27" s="2">
        <f>'Прогноз фин результата'!V11+'Прогноз фин результата'!V19</f>
        <v>184440</v>
      </c>
      <c r="X27" s="2">
        <f>'Прогноз фин результата'!W11+'Прогноз фин результата'!W19</f>
        <v>209880</v>
      </c>
      <c r="Y27" s="2">
        <f>'Прогноз фин результата'!X11+'Прогноз фин результата'!X19</f>
        <v>215880</v>
      </c>
      <c r="Z27" s="151">
        <f>'Прогноз фин результата'!Y11+'Прогноз фин результата'!Y19</f>
        <v>230880</v>
      </c>
      <c r="AA27" s="2">
        <f>'Прогноз фин результата'!Z11+'Прогноз фин результата'!Z19</f>
        <v>224940</v>
      </c>
      <c r="AB27" s="2">
        <f>'Прогноз фин результата'!AA11+'Прогноз фин результата'!AA19</f>
        <v>250380</v>
      </c>
      <c r="AC27" s="2">
        <f>'Прогноз фин результата'!AB11+'Прогноз фин результата'!AB19</f>
        <v>265380</v>
      </c>
      <c r="AD27" s="2">
        <f>'Прогноз фин результата'!AC11+'Прогноз фин результата'!AC19</f>
        <v>259440</v>
      </c>
      <c r="AE27" s="2">
        <f>'Прогноз фин результата'!AD11+'Прогноз фин результата'!AD19</f>
        <v>259440</v>
      </c>
      <c r="AF27" s="2">
        <f>'Прогноз фин результата'!AE11+'Прогноз фин результата'!AE19</f>
        <v>263688</v>
      </c>
      <c r="AG27" s="2">
        <f>'Прогноз фин результата'!AF11+'Прогноз фин результата'!AF19</f>
        <v>269688</v>
      </c>
      <c r="AH27" s="2">
        <f>'Прогноз фин результата'!AG11+'Прогноз фин результата'!AG19</f>
        <v>274440</v>
      </c>
      <c r="AI27" s="2">
        <f>'Прогноз фин результата'!AH11+'Прогноз фин результата'!AH19</f>
        <v>274440</v>
      </c>
      <c r="AJ27" s="2">
        <f>'Прогноз фин результата'!AI11+'Прогноз фин результата'!AI19</f>
        <v>299880</v>
      </c>
      <c r="AK27" s="2">
        <f>'Прогноз фин результата'!AJ11+'Прогноз фин результата'!AJ19</f>
        <v>305880</v>
      </c>
    </row>
    <row r="28" spans="1:37" s="182" customFormat="1" x14ac:dyDescent="0.25">
      <c r="A28" s="168" t="s">
        <v>291</v>
      </c>
      <c r="B28" s="152"/>
      <c r="C28" s="2">
        <f>'Прогноз фин результата'!B24+'Прогноз фин результата'!C24</f>
        <v>8000</v>
      </c>
      <c r="D28" s="2">
        <f>'Прогноз фин результата'!C24+'Прогноз фин результата'!D24</f>
        <v>3000</v>
      </c>
      <c r="E28" s="2">
        <f>'Прогноз фин результата'!D24+'Прогноз фин результата'!E24</f>
        <v>4500</v>
      </c>
      <c r="F28" s="2">
        <f>'Прогноз фин результата'!E24+'Прогноз фин результата'!F24</f>
        <v>4500</v>
      </c>
      <c r="G28" s="2">
        <f>'Прогноз фин результата'!F24+'Прогноз фин результата'!G24</f>
        <v>3000</v>
      </c>
      <c r="H28" s="2">
        <f>'Прогноз фин результата'!G24+'Прогноз фин результата'!H24</f>
        <v>3500</v>
      </c>
      <c r="I28" s="2">
        <f>'Прогноз фин результата'!H24+'Прогноз фин результата'!I24</f>
        <v>2500</v>
      </c>
      <c r="J28" s="2">
        <f>'Прогноз фин результата'!I24+'Прогноз фин результата'!J24</f>
        <v>2000</v>
      </c>
      <c r="K28" s="2">
        <f>'Прогноз фин результата'!J24+'Прогноз фин результата'!K24</f>
        <v>500</v>
      </c>
      <c r="L28" s="2">
        <f>'Прогноз фин результата'!K24+'Прогноз фин результата'!L24</f>
        <v>4500</v>
      </c>
      <c r="M28" s="2">
        <f>'Прогноз фин результата'!L24+'Прогноз фин результата'!M24</f>
        <v>4000</v>
      </c>
      <c r="N28" s="152">
        <f>'Прогноз фин результата'!M24+'Прогноз фин результата'!N24</f>
        <v>3500</v>
      </c>
      <c r="O28" s="2">
        <f>'Прогноз фин результата'!N24+'Прогноз фин результата'!O24</f>
        <v>7500</v>
      </c>
      <c r="P28" s="2">
        <f>'Прогноз фин результата'!O24+'Прогноз фин результата'!P24</f>
        <v>4000</v>
      </c>
      <c r="Q28" s="2">
        <f>'Прогноз фин результата'!P24+'Прогноз фин результата'!Q24</f>
        <v>500</v>
      </c>
      <c r="R28" s="2">
        <f>'Прогноз фин результата'!Q24+'Прогноз фин результата'!R24</f>
        <v>2500</v>
      </c>
      <c r="S28" s="2">
        <f>'Прогноз фин результата'!R24+'Прогноз фин результата'!S24</f>
        <v>3000</v>
      </c>
      <c r="T28" s="2">
        <f>'Прогноз фин результата'!S24+'Прогноз фин результата'!T24</f>
        <v>1500</v>
      </c>
      <c r="U28" s="2">
        <f>'Прогноз фин результата'!T24+'Прогноз фин результата'!U24</f>
        <v>3500</v>
      </c>
      <c r="V28" s="2">
        <f>'Прогноз фин результата'!U24+'Прогноз фин результата'!V24</f>
        <v>3000</v>
      </c>
      <c r="W28" s="2">
        <f>'Прогноз фин результата'!V24+'Прогноз фин результата'!W24</f>
        <v>500</v>
      </c>
      <c r="X28" s="2">
        <f>'Прогноз фин результата'!W24+'Прогноз фин результата'!X24</f>
        <v>10500</v>
      </c>
      <c r="Y28" s="2">
        <f>'Прогноз фин результата'!X24+'Прогноз фин результата'!Y24</f>
        <v>10000</v>
      </c>
      <c r="Z28" s="151">
        <f>'Прогноз фин результата'!Y24+'Прогноз фин результата'!Z24</f>
        <v>6500</v>
      </c>
      <c r="AA28" s="2">
        <f>'Прогноз фин результата'!Z24+'Прогноз фин результата'!AA24</f>
        <v>6500</v>
      </c>
      <c r="AB28" s="2">
        <f>'Прогноз фин результата'!AA24+'Прогноз фин результата'!AB24</f>
        <v>3000</v>
      </c>
      <c r="AC28" s="2">
        <f>'Прогноз фин результата'!AB24+'Прогноз фин результата'!AC24</f>
        <v>3500</v>
      </c>
      <c r="AD28" s="2">
        <f>'Прогноз фин результата'!AC24+'Прогноз фин результата'!AD24</f>
        <v>500</v>
      </c>
      <c r="AE28" s="2">
        <f>'Прогноз фин результата'!AD24+'Прогноз фин результата'!AE24</f>
        <v>3000</v>
      </c>
      <c r="AF28" s="2">
        <f>'Прогноз фин результата'!AE24+'Прогноз фин результата'!AF24</f>
        <v>3500</v>
      </c>
      <c r="AG28" s="2">
        <f>'Прогноз фин результата'!AF24+'Прогноз фин результата'!AG24</f>
        <v>3500</v>
      </c>
      <c r="AH28" s="2">
        <f>'Прогноз фин результата'!AG24+'Прогноз фин результата'!AH24</f>
        <v>3000</v>
      </c>
      <c r="AI28" s="2">
        <f>'Прогноз фин результата'!AH24+'Прогноз фин результата'!AI24</f>
        <v>4500</v>
      </c>
      <c r="AJ28" s="2">
        <f>'Прогноз фин результата'!AI24+'Прогноз фин результата'!AJ24</f>
        <v>4500</v>
      </c>
      <c r="AK28" s="2">
        <f>'Прогноз фин результата'!AJ24+'Прогноз фин результата'!AK24</f>
        <v>10000</v>
      </c>
    </row>
    <row r="29" spans="1:37" s="182" customFormat="1" x14ac:dyDescent="0.25">
      <c r="A29" s="168" t="s">
        <v>292</v>
      </c>
      <c r="B29" s="152"/>
      <c r="C29" s="2"/>
      <c r="D29" s="2">
        <f>'Прогноз фин результата'!B42+'Прогноз фин результата'!C42+'Прогноз фин результата'!D42</f>
        <v>2376</v>
      </c>
      <c r="E29" s="2"/>
      <c r="F29" s="2"/>
      <c r="G29" s="2">
        <f>'Прогноз фин результата'!E42+'Прогноз фин результата'!F42+'Прогноз фин результата'!G42</f>
        <v>6624</v>
      </c>
      <c r="H29" s="2"/>
      <c r="I29" s="2"/>
      <c r="J29" s="2">
        <f>'Прогноз фин результата'!H42+'Прогноз фин результата'!I42+'Прогноз фин результата'!J42</f>
        <v>11304</v>
      </c>
      <c r="K29" s="2"/>
      <c r="L29" s="2"/>
      <c r="M29" s="2">
        <f>'Прогноз фин результата'!K42+'Прогноз фин результата'!L42+'Прогноз фин результата'!M42</f>
        <v>20496</v>
      </c>
      <c r="N29" s="152"/>
      <c r="O29" s="2"/>
      <c r="P29" s="2">
        <f>'Прогноз фин результата'!N42+'Прогноз фин результата'!O42+'Прогноз фин результата'!P42</f>
        <v>95301.15</v>
      </c>
      <c r="Q29" s="2"/>
      <c r="R29" s="2"/>
      <c r="S29" s="2">
        <f>'Прогноз фин результата'!Q42+'Прогноз фин результата'!R42+'Прогноз фин результата'!S42</f>
        <v>181263.14999999997</v>
      </c>
      <c r="T29" s="2"/>
      <c r="U29" s="2"/>
      <c r="V29" s="2">
        <f>'Прогноз фин результата'!T42+'Прогноз фин результата'!U42+'Прогноз фин результата'!V42</f>
        <v>194552.55000000002</v>
      </c>
      <c r="W29" s="2"/>
      <c r="X29" s="2"/>
      <c r="Y29" s="2">
        <f>'Прогноз фин результата'!W42+'Прогноз фин результата'!X42+'Прогноз фин результата'!Y42</f>
        <v>247340.25000000009</v>
      </c>
      <c r="Z29" s="151"/>
      <c r="AA29" s="2"/>
      <c r="AB29" s="2">
        <f>'Прогноз фин результата'!Z42+'Прогноз фин результата'!AA42+'Прогноз фин результата'!AB42</f>
        <v>324800.09999999998</v>
      </c>
      <c r="AC29" s="2"/>
      <c r="AD29" s="2"/>
      <c r="AE29" s="2">
        <f>'Прогноз фин результата'!AC42+'Прогноз фин результата'!AD42+'Прогноз фин результата'!AE42</f>
        <v>398687.09999999992</v>
      </c>
      <c r="AF29" s="2"/>
      <c r="AG29" s="2"/>
      <c r="AH29" s="2">
        <f>'Прогноз фин результата'!AF42+'Прогноз фин результата'!AG42+'Прогноз фин результата'!AH42</f>
        <v>417151.5</v>
      </c>
      <c r="AI29" s="2"/>
      <c r="AJ29" s="2"/>
      <c r="AK29" s="2">
        <f>'Прогноз фин результата'!AI42+'Прогноз фин результата'!AJ42+'Прогноз фин результата'!AK42</f>
        <v>470014.19999999995</v>
      </c>
    </row>
    <row r="30" spans="1:37" s="182" customFormat="1" ht="27" x14ac:dyDescent="0.25">
      <c r="A30" s="168" t="s">
        <v>293</v>
      </c>
      <c r="B30" s="152"/>
      <c r="C30" s="2">
        <f>'Прогноз фин результата'!B33</f>
        <v>0</v>
      </c>
      <c r="D30" s="2">
        <f>'Прогноз фин результата'!C33</f>
        <v>4800</v>
      </c>
      <c r="E30" s="2">
        <f>'Прогноз фин результата'!D33</f>
        <v>7080</v>
      </c>
      <c r="F30" s="2">
        <f>'Прогноз фин результата'!E33</f>
        <v>9060</v>
      </c>
      <c r="G30" s="2">
        <f>'Прогноз фин результата'!F33</f>
        <v>11040</v>
      </c>
      <c r="H30" s="2">
        <f>'Прогноз фин результата'!G33</f>
        <v>13020</v>
      </c>
      <c r="I30" s="2">
        <f>'Прогноз фин результата'!H33</f>
        <v>15540</v>
      </c>
      <c r="J30" s="2">
        <f>'Прогноз фин результата'!I33</f>
        <v>18840</v>
      </c>
      <c r="K30" s="2">
        <f>'Прогноз фин результата'!J33</f>
        <v>22140</v>
      </c>
      <c r="L30" s="2">
        <f>'Прогноз фин результата'!K33</f>
        <v>27780</v>
      </c>
      <c r="M30" s="2">
        <f>'Прогноз фин результата'!L33</f>
        <v>34380</v>
      </c>
      <c r="N30" s="152">
        <f>'Прогноз фин результата'!M33</f>
        <v>40320</v>
      </c>
      <c r="O30" s="2">
        <f>'Прогноз фин результата'!N33</f>
        <v>43920</v>
      </c>
      <c r="P30" s="2">
        <f>'Прогноз фин результата'!O33</f>
        <v>49560</v>
      </c>
      <c r="Q30" s="2">
        <f>'Прогноз фин результата'!P33</f>
        <v>56160</v>
      </c>
      <c r="R30" s="2">
        <f>'Прогноз фин результата'!Q33</f>
        <v>59100</v>
      </c>
      <c r="S30" s="2">
        <f>'Прогноз фин результата'!R33</f>
        <v>62400</v>
      </c>
      <c r="T30" s="2">
        <f>'Прогноз фин результата'!S33</f>
        <v>63300</v>
      </c>
      <c r="U30" s="2">
        <f>'Прогноз фин результата'!T33</f>
        <v>63960</v>
      </c>
      <c r="V30" s="2">
        <f>'Прогноз фин результата'!U33</f>
        <v>67020</v>
      </c>
      <c r="W30" s="2">
        <f>'Прогноз фин результата'!V33</f>
        <v>69660</v>
      </c>
      <c r="X30" s="2">
        <f>'Прогноз фин результата'!W33</f>
        <v>75960</v>
      </c>
      <c r="Y30" s="2">
        <f>'Прогноз фин результата'!X33</f>
        <v>81900</v>
      </c>
      <c r="Z30" s="151">
        <f>'Прогноз фин результата'!Y33</f>
        <v>87840</v>
      </c>
      <c r="AA30" s="2">
        <f>'Прогноз фин результата'!Z33</f>
        <v>91440</v>
      </c>
      <c r="AB30" s="2">
        <f>'Прогноз фин результата'!AA33</f>
        <v>97740</v>
      </c>
      <c r="AC30" s="2">
        <f>'Прогноз фин результата'!AB33</f>
        <v>103680</v>
      </c>
      <c r="AD30" s="2">
        <f>'Прогноз фин результата'!AC33</f>
        <v>107280</v>
      </c>
      <c r="AE30" s="2">
        <f>'Прогноз фин результата'!AD33</f>
        <v>109920</v>
      </c>
      <c r="AF30" s="2">
        <f>'Прогноз фин результата'!AE33</f>
        <v>110820</v>
      </c>
      <c r="AG30" s="2">
        <f>'Прогноз фин результата'!AF33</f>
        <v>111480</v>
      </c>
      <c r="AH30" s="2">
        <f>'Прогноз фин результата'!AG33</f>
        <v>114540</v>
      </c>
      <c r="AI30" s="2">
        <f>'Прогноз фин результата'!AH33</f>
        <v>117840</v>
      </c>
      <c r="AJ30" s="2">
        <f>'Прогноз фин результата'!AI33</f>
        <v>123480</v>
      </c>
      <c r="AK30" s="2">
        <f>'Прогноз фин результата'!AJ33</f>
        <v>129420</v>
      </c>
    </row>
    <row r="31" spans="1:37" s="182" customFormat="1" x14ac:dyDescent="0.25">
      <c r="A31" s="169" t="s">
        <v>294</v>
      </c>
      <c r="B31" s="152">
        <f>'Прогноз фин результата'!B31</f>
        <v>14000</v>
      </c>
      <c r="C31" s="2">
        <f>'Прогноз фин результата'!C31</f>
        <v>34128</v>
      </c>
      <c r="D31" s="2">
        <f>'Прогноз фин результата'!D31</f>
        <v>29376</v>
      </c>
      <c r="E31" s="2">
        <f>'Прогноз фин результата'!E31</f>
        <v>33376</v>
      </c>
      <c r="F31" s="2">
        <f>'Прогноз фин результата'!F31</f>
        <v>33376</v>
      </c>
      <c r="G31" s="2">
        <f>'Прогноз фин результата'!G31</f>
        <v>36376</v>
      </c>
      <c r="H31" s="2">
        <f>'Прогноз фин результата'!H31</f>
        <v>43960</v>
      </c>
      <c r="I31" s="2">
        <f>'Прогноз фин результата'!I31</f>
        <v>47960</v>
      </c>
      <c r="J31" s="2">
        <f>'Прогноз фин результата'!J31</f>
        <v>47960</v>
      </c>
      <c r="K31" s="2">
        <f>'Прогноз фин результата'!K31</f>
        <v>67920</v>
      </c>
      <c r="L31" s="2">
        <f>'Прогноз фин результата'!L31</f>
        <v>86920</v>
      </c>
      <c r="M31" s="2">
        <f>'Прогноз фин результата'!M31</f>
        <v>96920</v>
      </c>
      <c r="N31" s="152">
        <f>'Прогноз фин результата'!N31</f>
        <v>92960</v>
      </c>
      <c r="O31" s="2">
        <f>'Прогноз фин результата'!O31</f>
        <v>109920</v>
      </c>
      <c r="P31" s="2">
        <f>'Прогноз фин результата'!P31</f>
        <v>113920</v>
      </c>
      <c r="Q31" s="2">
        <f>'Прогноз фин результата'!Q31</f>
        <v>109960</v>
      </c>
      <c r="R31" s="2">
        <f>'Прогноз фин результата'!R31</f>
        <v>109960</v>
      </c>
      <c r="S31" s="2">
        <f>'Прогноз фин результата'!S31</f>
        <v>112792</v>
      </c>
      <c r="T31" s="2">
        <f>'Прогноз фин результата'!T31</f>
        <v>116792</v>
      </c>
      <c r="U31" s="2">
        <f>'Прогноз фин результата'!U31</f>
        <v>122960</v>
      </c>
      <c r="V31" s="2">
        <f>'Прогноз фин результата'!V31</f>
        <v>122960</v>
      </c>
      <c r="W31" s="2">
        <f>'Прогноз фин результата'!W31</f>
        <v>139920</v>
      </c>
      <c r="X31" s="2">
        <f>'Прогноз фин результата'!X31</f>
        <v>143920</v>
      </c>
      <c r="Y31" s="2">
        <f>'Прогноз фин результата'!Y31</f>
        <v>153920</v>
      </c>
      <c r="Z31" s="151">
        <f>'Прогноз фин результата'!Z31</f>
        <v>149960</v>
      </c>
      <c r="AA31" s="2">
        <f>'Прогноз фин результата'!AA31</f>
        <v>166920</v>
      </c>
      <c r="AB31" s="2">
        <f>'Прогноз фин результата'!AB31</f>
        <v>176920</v>
      </c>
      <c r="AC31" s="2">
        <f>'Прогноз фин результата'!AC31</f>
        <v>172960</v>
      </c>
      <c r="AD31" s="2">
        <f>'Прогноз фин результата'!AD31</f>
        <v>172960</v>
      </c>
      <c r="AE31" s="2">
        <f>'Прогноз фин результата'!AE31</f>
        <v>175792</v>
      </c>
      <c r="AF31" s="2">
        <f>'Прогноз фин результата'!AF31</f>
        <v>179792</v>
      </c>
      <c r="AG31" s="2">
        <f>'Прогноз фин результата'!AG31</f>
        <v>182960</v>
      </c>
      <c r="AH31" s="2">
        <f>'Прогноз фин результата'!AH31</f>
        <v>182960</v>
      </c>
      <c r="AI31" s="2">
        <f>'Прогноз фин результата'!AI31</f>
        <v>199920</v>
      </c>
      <c r="AJ31" s="2">
        <f>'Прогноз фин результата'!AJ31</f>
        <v>203920</v>
      </c>
      <c r="AK31" s="2">
        <f>'Прогноз фин результата'!AK31</f>
        <v>216920</v>
      </c>
    </row>
    <row r="32" spans="1:37" s="226" customFormat="1" ht="27" x14ac:dyDescent="0.25">
      <c r="A32" s="150" t="s">
        <v>295</v>
      </c>
      <c r="B32" s="152">
        <f t="shared" ref="B32:AK32" si="5">SUM(B33:B35)</f>
        <v>106100</v>
      </c>
      <c r="C32" s="2">
        <f t="shared" si="5"/>
        <v>159150</v>
      </c>
      <c r="D32" s="2">
        <f t="shared" si="5"/>
        <v>0</v>
      </c>
      <c r="E32" s="2">
        <f t="shared" si="5"/>
        <v>53050</v>
      </c>
      <c r="F32" s="2">
        <f t="shared" si="5"/>
        <v>0</v>
      </c>
      <c r="G32" s="2">
        <f t="shared" si="5"/>
        <v>0</v>
      </c>
      <c r="H32" s="2">
        <f t="shared" si="5"/>
        <v>53050</v>
      </c>
      <c r="I32" s="2">
        <f t="shared" si="5"/>
        <v>53050</v>
      </c>
      <c r="J32" s="2">
        <f t="shared" si="5"/>
        <v>0</v>
      </c>
      <c r="K32" s="2">
        <f t="shared" si="5"/>
        <v>106100</v>
      </c>
      <c r="L32" s="2">
        <f t="shared" si="5"/>
        <v>159150</v>
      </c>
      <c r="M32" s="2">
        <f t="shared" si="5"/>
        <v>106100</v>
      </c>
      <c r="N32" s="152">
        <f t="shared" si="5"/>
        <v>0</v>
      </c>
      <c r="O32" s="2">
        <f t="shared" si="5"/>
        <v>106100</v>
      </c>
      <c r="P32" s="2">
        <f t="shared" si="5"/>
        <v>53050</v>
      </c>
      <c r="Q32" s="2">
        <f t="shared" si="5"/>
        <v>0</v>
      </c>
      <c r="R32" s="2">
        <f t="shared" si="5"/>
        <v>0</v>
      </c>
      <c r="S32" s="2">
        <f t="shared" si="5"/>
        <v>53050</v>
      </c>
      <c r="T32" s="2">
        <f t="shared" si="5"/>
        <v>53050</v>
      </c>
      <c r="U32" s="2">
        <f t="shared" si="5"/>
        <v>0</v>
      </c>
      <c r="V32" s="2">
        <f t="shared" si="5"/>
        <v>0</v>
      </c>
      <c r="W32" s="2">
        <f t="shared" si="5"/>
        <v>106100</v>
      </c>
      <c r="X32" s="2">
        <f t="shared" si="5"/>
        <v>53050</v>
      </c>
      <c r="Y32" s="2">
        <f t="shared" si="5"/>
        <v>106100</v>
      </c>
      <c r="Z32" s="151">
        <f t="shared" si="5"/>
        <v>0</v>
      </c>
      <c r="AA32" s="2">
        <f t="shared" si="5"/>
        <v>106100</v>
      </c>
      <c r="AB32" s="2">
        <f t="shared" si="5"/>
        <v>106100</v>
      </c>
      <c r="AC32" s="2">
        <f t="shared" si="5"/>
        <v>0</v>
      </c>
      <c r="AD32" s="2">
        <f t="shared" si="5"/>
        <v>0</v>
      </c>
      <c r="AE32" s="2">
        <f t="shared" si="5"/>
        <v>53050</v>
      </c>
      <c r="AF32" s="2">
        <f t="shared" si="5"/>
        <v>53050</v>
      </c>
      <c r="AG32" s="2">
        <f t="shared" si="5"/>
        <v>0</v>
      </c>
      <c r="AH32" s="2">
        <f t="shared" si="5"/>
        <v>0</v>
      </c>
      <c r="AI32" s="2">
        <f t="shared" si="5"/>
        <v>106100</v>
      </c>
      <c r="AJ32" s="2">
        <f t="shared" si="5"/>
        <v>53050</v>
      </c>
      <c r="AK32" s="2">
        <f t="shared" si="5"/>
        <v>106100</v>
      </c>
    </row>
    <row r="33" spans="1:37" s="226" customFormat="1" ht="27" x14ac:dyDescent="0.25">
      <c r="A33" s="169" t="s">
        <v>296</v>
      </c>
      <c r="B33" s="152">
        <f>'Прогноз фин результата'!B37</f>
        <v>106100</v>
      </c>
      <c r="C33" s="129">
        <f>'Прогноз фин результата'!C37</f>
        <v>159150</v>
      </c>
      <c r="D33" s="129">
        <f>'Прогноз фин результата'!D37</f>
        <v>0</v>
      </c>
      <c r="E33" s="129">
        <f>'Прогноз фин результата'!E37</f>
        <v>53050</v>
      </c>
      <c r="F33" s="129">
        <f>'Прогноз фин результата'!F37</f>
        <v>0</v>
      </c>
      <c r="G33" s="129">
        <f>'Прогноз фин результата'!G37</f>
        <v>0</v>
      </c>
      <c r="H33" s="129">
        <f>'Прогноз фин результата'!H37</f>
        <v>53050</v>
      </c>
      <c r="I33" s="129">
        <f>'Прогноз фин результата'!I37</f>
        <v>53050</v>
      </c>
      <c r="J33" s="129">
        <f>'Прогноз фин результата'!J37</f>
        <v>0</v>
      </c>
      <c r="K33" s="129">
        <f>'Прогноз фин результата'!K37</f>
        <v>106100</v>
      </c>
      <c r="L33" s="129">
        <f>'Прогноз фин результата'!L37</f>
        <v>159150</v>
      </c>
      <c r="M33" s="129">
        <f>'Прогноз фин результата'!M37</f>
        <v>106100</v>
      </c>
      <c r="N33" s="152">
        <f>'Прогноз фин результата'!N37</f>
        <v>0</v>
      </c>
      <c r="O33" s="129">
        <f>'Прогноз фин результата'!O37</f>
        <v>106100</v>
      </c>
      <c r="P33" s="129">
        <f>'Прогноз фин результата'!P37</f>
        <v>53050</v>
      </c>
      <c r="Q33" s="129">
        <f>'Прогноз фин результата'!Q37</f>
        <v>0</v>
      </c>
      <c r="R33" s="129">
        <f>'Прогноз фин результата'!R37</f>
        <v>0</v>
      </c>
      <c r="S33" s="129">
        <f>'Прогноз фин результата'!S37</f>
        <v>53050</v>
      </c>
      <c r="T33" s="129">
        <f>'Прогноз фин результата'!T37</f>
        <v>53050</v>
      </c>
      <c r="U33" s="129">
        <f>'Прогноз фин результата'!U37</f>
        <v>0</v>
      </c>
      <c r="V33" s="129">
        <f>'Прогноз фин результата'!V37</f>
        <v>0</v>
      </c>
      <c r="W33" s="129">
        <f>'Прогноз фин результата'!W37</f>
        <v>106100</v>
      </c>
      <c r="X33" s="129">
        <f>'Прогноз фин результата'!X37</f>
        <v>53050</v>
      </c>
      <c r="Y33" s="129">
        <f>'Прогноз фин результата'!Y37</f>
        <v>106100</v>
      </c>
      <c r="Z33" s="151">
        <f>'Прогноз фин результата'!Z37</f>
        <v>0</v>
      </c>
      <c r="AA33" s="129">
        <f>'Прогноз фин результата'!AA37</f>
        <v>106100</v>
      </c>
      <c r="AB33" s="129">
        <f>'Прогноз фин результата'!AB37</f>
        <v>106100</v>
      </c>
      <c r="AC33" s="129">
        <f>'Прогноз фин результата'!AC37</f>
        <v>0</v>
      </c>
      <c r="AD33" s="129">
        <f>'Прогноз фин результата'!AD37</f>
        <v>0</v>
      </c>
      <c r="AE33" s="129">
        <f>'Прогноз фин результата'!AE37</f>
        <v>53050</v>
      </c>
      <c r="AF33" s="129">
        <f>'Прогноз фин результата'!AF37</f>
        <v>53050</v>
      </c>
      <c r="AG33" s="129">
        <f>'Прогноз фин результата'!AG37</f>
        <v>0</v>
      </c>
      <c r="AH33" s="129">
        <f>'Прогноз фин результата'!AH37</f>
        <v>0</v>
      </c>
      <c r="AI33" s="129">
        <f>'Прогноз фин результата'!AI37</f>
        <v>106100</v>
      </c>
      <c r="AJ33" s="129">
        <f>'Прогноз фин результата'!AJ37</f>
        <v>53050</v>
      </c>
      <c r="AK33" s="129">
        <f>'Прогноз фин результата'!AK37</f>
        <v>106100</v>
      </c>
    </row>
    <row r="34" spans="1:37" s="227" customFormat="1" x14ac:dyDescent="0.25">
      <c r="A34" s="169" t="s">
        <v>297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s="182" customFormat="1" x14ac:dyDescent="0.25">
      <c r="A35" s="168"/>
      <c r="B35" s="15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5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5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s="227" customFormat="1" x14ac:dyDescent="0.25">
      <c r="A36" s="169"/>
      <c r="B36" s="152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52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52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</row>
    <row r="37" spans="1:37" s="182" customFormat="1" x14ac:dyDescent="0.25">
      <c r="A37" s="150" t="s">
        <v>298</v>
      </c>
      <c r="B37" s="152">
        <f t="shared" ref="B37:AK37" si="6">B20+B32</f>
        <v>196100</v>
      </c>
      <c r="C37" s="129">
        <f t="shared" si="6"/>
        <v>358034</v>
      </c>
      <c r="D37" s="129">
        <f t="shared" si="6"/>
        <v>277380</v>
      </c>
      <c r="E37" s="129">
        <f t="shared" si="6"/>
        <v>322450</v>
      </c>
      <c r="F37" s="129">
        <f t="shared" si="6"/>
        <v>289380</v>
      </c>
      <c r="G37" s="129">
        <f t="shared" si="6"/>
        <v>305484</v>
      </c>
      <c r="H37" s="129">
        <f t="shared" si="6"/>
        <v>390642</v>
      </c>
      <c r="I37" s="129">
        <f t="shared" si="6"/>
        <v>460790</v>
      </c>
      <c r="J37" s="129">
        <f t="shared" si="6"/>
        <v>439844</v>
      </c>
      <c r="K37" s="129">
        <f t="shared" si="6"/>
        <v>605320</v>
      </c>
      <c r="L37" s="129">
        <f t="shared" si="6"/>
        <v>832830</v>
      </c>
      <c r="M37" s="129">
        <f t="shared" si="6"/>
        <v>930876</v>
      </c>
      <c r="N37" s="152">
        <f t="shared" si="6"/>
        <v>842840</v>
      </c>
      <c r="O37" s="129">
        <f t="shared" si="6"/>
        <v>998600</v>
      </c>
      <c r="P37" s="129">
        <f t="shared" si="6"/>
        <v>1135811.1499999999</v>
      </c>
      <c r="Q37" s="129">
        <f t="shared" si="6"/>
        <v>996680</v>
      </c>
      <c r="R37" s="129">
        <f t="shared" si="6"/>
        <v>983800</v>
      </c>
      <c r="S37" s="129">
        <f t="shared" si="6"/>
        <v>1239409.1499999999</v>
      </c>
      <c r="T37" s="129">
        <f t="shared" si="6"/>
        <v>1086790</v>
      </c>
      <c r="U37" s="129">
        <f t="shared" si="6"/>
        <v>1072904</v>
      </c>
      <c r="V37" s="129">
        <f t="shared" si="6"/>
        <v>1297772.55</v>
      </c>
      <c r="W37" s="129">
        <f t="shared" si="6"/>
        <v>1269340</v>
      </c>
      <c r="X37" s="129">
        <f t="shared" si="6"/>
        <v>1325410</v>
      </c>
      <c r="Y37" s="129">
        <f t="shared" si="6"/>
        <v>1692740.25</v>
      </c>
      <c r="Z37" s="152">
        <f t="shared" si="6"/>
        <v>1374860</v>
      </c>
      <c r="AA37" s="129">
        <f t="shared" si="6"/>
        <v>1526620</v>
      </c>
      <c r="AB37" s="129">
        <f t="shared" si="6"/>
        <v>1969540.1</v>
      </c>
      <c r="AC37" s="129">
        <f t="shared" si="6"/>
        <v>1578200</v>
      </c>
      <c r="AD37" s="129">
        <f t="shared" si="6"/>
        <v>1560980</v>
      </c>
      <c r="AE37" s="129">
        <f t="shared" si="6"/>
        <v>2030853.0999999999</v>
      </c>
      <c r="AF37" s="129">
        <f t="shared" si="6"/>
        <v>1667310</v>
      </c>
      <c r="AG37" s="129">
        <f t="shared" si="6"/>
        <v>1642424</v>
      </c>
      <c r="AH37" s="129">
        <f t="shared" si="6"/>
        <v>2076391.5</v>
      </c>
      <c r="AI37" s="129">
        <f t="shared" si="6"/>
        <v>1830020</v>
      </c>
      <c r="AJ37" s="129">
        <f t="shared" si="6"/>
        <v>1875430</v>
      </c>
      <c r="AK37" s="129">
        <f t="shared" si="6"/>
        <v>2475934.2000000002</v>
      </c>
    </row>
    <row r="38" spans="1:37" s="182" customFormat="1" x14ac:dyDescent="0.25">
      <c r="A38" s="168"/>
      <c r="B38" s="15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5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61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</row>
    <row r="39" spans="1:37" s="182" customFormat="1" ht="27" x14ac:dyDescent="0.25">
      <c r="A39" s="150" t="s">
        <v>299</v>
      </c>
      <c r="B39" s="152">
        <f t="shared" ref="B39:AK39" si="7">B5+B7-B37</f>
        <v>-196100</v>
      </c>
      <c r="C39" s="2">
        <f t="shared" si="7"/>
        <v>-458134</v>
      </c>
      <c r="D39" s="2">
        <f t="shared" si="7"/>
        <v>-603514</v>
      </c>
      <c r="E39" s="2">
        <f t="shared" si="7"/>
        <v>-748364</v>
      </c>
      <c r="F39" s="2">
        <f t="shared" si="7"/>
        <v>-820544</v>
      </c>
      <c r="G39" s="2">
        <f t="shared" si="7"/>
        <v>-869228</v>
      </c>
      <c r="H39" s="2">
        <f t="shared" si="7"/>
        <v>-951470</v>
      </c>
      <c r="I39" s="2">
        <f t="shared" si="7"/>
        <v>-1041460</v>
      </c>
      <c r="J39" s="2">
        <f t="shared" si="7"/>
        <v>-1044504</v>
      </c>
      <c r="K39" s="129">
        <f t="shared" si="7"/>
        <v>-1099024</v>
      </c>
      <c r="L39" s="129">
        <f t="shared" si="7"/>
        <v>-1256254</v>
      </c>
      <c r="M39" s="129">
        <f t="shared" si="7"/>
        <v>-1391530</v>
      </c>
      <c r="N39" s="152">
        <f t="shared" si="7"/>
        <v>-1367970</v>
      </c>
      <c r="O39" s="129">
        <f t="shared" si="7"/>
        <v>-1380170</v>
      </c>
      <c r="P39" s="129">
        <f t="shared" si="7"/>
        <v>-1404781.15</v>
      </c>
      <c r="Q39" s="2">
        <f t="shared" si="7"/>
        <v>-1230261.1499999999</v>
      </c>
      <c r="R39" s="2">
        <f t="shared" si="7"/>
        <v>-972061.14999999991</v>
      </c>
      <c r="S39" s="2">
        <f t="shared" si="7"/>
        <v>-951470.29999999981</v>
      </c>
      <c r="T39" s="2">
        <f t="shared" si="7"/>
        <v>-760260.29999999981</v>
      </c>
      <c r="U39" s="2">
        <f t="shared" si="7"/>
        <v>-493964.29999999981</v>
      </c>
      <c r="V39" s="2">
        <f t="shared" si="7"/>
        <v>-403336.84999999986</v>
      </c>
      <c r="W39" s="2">
        <f t="shared" si="7"/>
        <v>-159476.84999999986</v>
      </c>
      <c r="X39" s="2">
        <f t="shared" si="7"/>
        <v>142313.15000000014</v>
      </c>
      <c r="Y39" s="2">
        <f t="shared" si="7"/>
        <v>195572.90000000014</v>
      </c>
      <c r="Z39" s="152">
        <f t="shared" si="7"/>
        <v>637512.90000000014</v>
      </c>
      <c r="AA39" s="2">
        <f t="shared" si="7"/>
        <v>1059692.9000000004</v>
      </c>
      <c r="AB39" s="2">
        <f t="shared" si="7"/>
        <v>1152952.8000000003</v>
      </c>
      <c r="AC39" s="2">
        <f t="shared" si="7"/>
        <v>1708352.8000000003</v>
      </c>
      <c r="AD39" s="2">
        <f t="shared" si="7"/>
        <v>2340972.8000000003</v>
      </c>
      <c r="AE39" s="2">
        <f t="shared" si="7"/>
        <v>2520519.7000000011</v>
      </c>
      <c r="AF39" s="2">
        <f t="shared" si="7"/>
        <v>3081609.7000000011</v>
      </c>
      <c r="AG39" s="2">
        <f t="shared" si="7"/>
        <v>3728785.7000000011</v>
      </c>
      <c r="AH39" s="2">
        <f t="shared" si="7"/>
        <v>4003194.2000000011</v>
      </c>
      <c r="AI39" s="2">
        <f t="shared" si="7"/>
        <v>4637974.2000000011</v>
      </c>
      <c r="AJ39" s="2">
        <f t="shared" si="7"/>
        <v>5340144.2000000011</v>
      </c>
      <c r="AK39" s="2">
        <f t="shared" si="7"/>
        <v>5572610.0000000009</v>
      </c>
    </row>
  </sheetData>
  <sheetProtection password="CA41" sheet="1" objects="1" scenarios="1"/>
  <protectedRanges>
    <protectedRange sqref="B15:AK17 B34:AK34" name="Диапазон1"/>
  </protectedRanges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Инструкция</vt:lpstr>
      <vt:lpstr>Исходные данные</vt:lpstr>
      <vt:lpstr>Расчет среднего чека</vt:lpstr>
      <vt:lpstr>Планирование выручки</vt:lpstr>
      <vt:lpstr>Планирование персонала</vt:lpstr>
      <vt:lpstr>Аренда и Рабочие места</vt:lpstr>
      <vt:lpstr>Прогноз фин результата</vt:lpstr>
      <vt:lpstr>Баланс денежных средств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2018-04-16T06:59:32Z</dcterms:modified>
</cp:coreProperties>
</file>